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tables/table1.xml" ContentType="application/vnd.openxmlformats-officedocument.spreadsheetml.tab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ables/table2.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DieseArbeitsmappe"/>
  <mc:AlternateContent xmlns:mc="http://schemas.openxmlformats.org/markup-compatibility/2006">
    <mc:Choice Requires="x15">
      <x15ac:absPath xmlns:x15ac="http://schemas.microsoft.com/office/spreadsheetml/2010/11/ac" url="C:\Users\HFG mobil\Downloads\"/>
    </mc:Choice>
  </mc:AlternateContent>
  <xr:revisionPtr revIDLastSave="0" documentId="13_ncr:1_{E16F51BB-80F9-4A94-B0FF-0DDA8BAFAD58}" xr6:coauthVersionLast="47" xr6:coauthVersionMax="47" xr10:uidLastSave="{00000000-0000-0000-0000-000000000000}"/>
  <bookViews>
    <workbookView xWindow="38280" yWindow="-120" windowWidth="29040" windowHeight="15720" tabRatio="933" xr2:uid="{00000000-000D-0000-FFFF-FFFF00000000}"/>
  </bookViews>
  <sheets>
    <sheet name="Info" sheetId="38" r:id="rId1"/>
    <sheet name="Eingabe Käuferdaten" sheetId="32" r:id="rId2"/>
    <sheet name="Eingabe Immodaten" sheetId="1" r:id="rId3"/>
    <sheet name="Einkommens &amp; Vermögensbilanz" sheetId="33" r:id="rId4"/>
    <sheet name="Rentenlücke" sheetId="37" r:id="rId5"/>
    <sheet name="Max Volumen" sheetId="36" r:id="rId6"/>
    <sheet name="Beispielberechnung" sheetId="40" r:id="rId7"/>
    <sheet name="Bilanz" sheetId="44" r:id="rId8"/>
    <sheet name="Bilanz Diagramm" sheetId="30" r:id="rId9"/>
    <sheet name="Vergleich Sparplan" sheetId="46" r:id="rId10"/>
    <sheet name="Diagramme" sheetId="45" r:id="rId11"/>
    <sheet name="Ergebnistabelle" sheetId="2" r:id="rId12"/>
    <sheet name="Kurzberechnung Jahr 1" sheetId="20" r:id="rId13"/>
    <sheet name="Steuerbetrachtung" sheetId="21" r:id="rId14"/>
    <sheet name="Steuertabelle" sheetId="24" r:id="rId15"/>
    <sheet name="Inflationstabelle" sheetId="34" r:id="rId16"/>
    <sheet name="Einstellungen" sheetId="35" r:id="rId17"/>
  </sheets>
  <definedNames>
    <definedName name="_xlnm._FilterDatabase" localSheetId="14" hidden="1">Steuertabelle!$A$1:$C$1</definedName>
    <definedName name="_xlnm._FilterDatabase" localSheetId="9" hidden="1">'Vergleich Sparplan'!$B$4:$E$18</definedName>
    <definedName name="_xlnm.Print_Area" localSheetId="6">Beispielberechnung!$A$1:$L$57</definedName>
    <definedName name="_xlnm.Print_Area" localSheetId="7">Bilanz!$B$2:$J$35</definedName>
    <definedName name="_xlnm.Print_Area" localSheetId="8">'Bilanz Diagramm'!$B$1:$J$29</definedName>
    <definedName name="_xlnm.Print_Area" localSheetId="10">Diagramme!$C$1:$Q$119</definedName>
    <definedName name="_xlnm.Print_Area" localSheetId="2">'Eingabe Immodaten'!$B$2:$H$34</definedName>
    <definedName name="_xlnm.Print_Area" localSheetId="1">'Eingabe Käuferdaten'!$B$7:$D$53</definedName>
    <definedName name="_xlnm.Print_Area" localSheetId="3">'Einkommens &amp; Vermögensbilanz'!$B$2:$F$39</definedName>
    <definedName name="_xlnm.Print_Area" localSheetId="16">Einstellungen!$A$1:$Q$16</definedName>
    <definedName name="_xlnm.Print_Area" localSheetId="11">Ergebnistabelle!$B$1:$AO$56</definedName>
    <definedName name="_xlnm.Print_Area" localSheetId="15">Inflationstabelle!$B$2:$P$59</definedName>
    <definedName name="_xlnm.Print_Area" localSheetId="0">Info!$B$1:$M$62</definedName>
    <definedName name="_xlnm.Print_Area" localSheetId="12">'Kurzberechnung Jahr 1'!$B$2:$C$37</definedName>
    <definedName name="_xlnm.Print_Area" localSheetId="5">'Max Volumen'!$B$2:$D$24</definedName>
    <definedName name="_xlnm.Print_Area" localSheetId="4">Rentenlücke!$B$2:$F$59</definedName>
    <definedName name="_xlnm.Print_Area" localSheetId="13">Steuerbetrachtung!$B$2:$E$46</definedName>
    <definedName name="_xlnm.Print_Area" localSheetId="14">Tabelle1[#All]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46" l="1"/>
  <c r="H5" i="46" s="1"/>
  <c r="E8" i="46"/>
  <c r="C8" i="46" s="1"/>
  <c r="C9" i="46"/>
  <c r="Q55" i="46"/>
  <c r="G6" i="46"/>
  <c r="G7" i="46" s="1"/>
  <c r="O49" i="34"/>
  <c r="O50" i="34" s="1"/>
  <c r="O51" i="34" s="1"/>
  <c r="O52" i="34" s="1"/>
  <c r="O53" i="34" s="1"/>
  <c r="O54" i="34" s="1"/>
  <c r="O55" i="34" s="1"/>
  <c r="O56" i="34" s="1"/>
  <c r="O57" i="34" s="1"/>
  <c r="O58" i="34" s="1"/>
  <c r="N49" i="34"/>
  <c r="N50" i="34" s="1"/>
  <c r="N51" i="34" s="1"/>
  <c r="N52" i="34" s="1"/>
  <c r="N53" i="34" s="1"/>
  <c r="N54" i="34" s="1"/>
  <c r="N55" i="34" s="1"/>
  <c r="N56" i="34" s="1"/>
  <c r="N57" i="34" s="1"/>
  <c r="N58" i="34" s="1"/>
  <c r="M49" i="34"/>
  <c r="M50" i="34" s="1"/>
  <c r="M51" i="34" s="1"/>
  <c r="M52" i="34" s="1"/>
  <c r="M53" i="34" s="1"/>
  <c r="M54" i="34" s="1"/>
  <c r="M55" i="34" s="1"/>
  <c r="M56" i="34" s="1"/>
  <c r="M57" i="34" s="1"/>
  <c r="M58" i="34" s="1"/>
  <c r="L49" i="34"/>
  <c r="L50" i="34" s="1"/>
  <c r="L51" i="34" s="1"/>
  <c r="L52" i="34" s="1"/>
  <c r="L53" i="34" s="1"/>
  <c r="L54" i="34" s="1"/>
  <c r="L55" i="34" s="1"/>
  <c r="L56" i="34" s="1"/>
  <c r="L57" i="34" s="1"/>
  <c r="L58" i="34" s="1"/>
  <c r="K49" i="34"/>
  <c r="K50" i="34" s="1"/>
  <c r="K51" i="34" s="1"/>
  <c r="K52" i="34" s="1"/>
  <c r="K53" i="34" s="1"/>
  <c r="K54" i="34" s="1"/>
  <c r="K55" i="34" s="1"/>
  <c r="K56" i="34" s="1"/>
  <c r="K57" i="34" s="1"/>
  <c r="K58" i="34" s="1"/>
  <c r="J49" i="34"/>
  <c r="J50" i="34" s="1"/>
  <c r="J51" i="34" s="1"/>
  <c r="J52" i="34" s="1"/>
  <c r="J53" i="34" s="1"/>
  <c r="J54" i="34" s="1"/>
  <c r="J55" i="34" s="1"/>
  <c r="J56" i="34" s="1"/>
  <c r="J57" i="34" s="1"/>
  <c r="J58" i="34" s="1"/>
  <c r="I49" i="34"/>
  <c r="I50" i="34" s="1"/>
  <c r="I51" i="34" s="1"/>
  <c r="I52" i="34" s="1"/>
  <c r="I53" i="34" s="1"/>
  <c r="I54" i="34" s="1"/>
  <c r="I55" i="34" s="1"/>
  <c r="I56" i="34" s="1"/>
  <c r="I57" i="34" s="1"/>
  <c r="I58" i="34" s="1"/>
  <c r="H49" i="34"/>
  <c r="H50" i="34" s="1"/>
  <c r="H51" i="34" s="1"/>
  <c r="H52" i="34" s="1"/>
  <c r="H53" i="34" s="1"/>
  <c r="H54" i="34" s="1"/>
  <c r="H55" i="34" s="1"/>
  <c r="H56" i="34" s="1"/>
  <c r="H57" i="34" s="1"/>
  <c r="H58" i="34" s="1"/>
  <c r="G49" i="34"/>
  <c r="G50" i="34" s="1"/>
  <c r="G51" i="34" s="1"/>
  <c r="G52" i="34" s="1"/>
  <c r="G53" i="34" s="1"/>
  <c r="G54" i="34" s="1"/>
  <c r="G55" i="34" s="1"/>
  <c r="G56" i="34" s="1"/>
  <c r="G57" i="34" s="1"/>
  <c r="G58" i="34" s="1"/>
  <c r="F49" i="34"/>
  <c r="F50" i="34" s="1"/>
  <c r="F51" i="34" s="1"/>
  <c r="F52" i="34" s="1"/>
  <c r="F53" i="34" s="1"/>
  <c r="F54" i="34" s="1"/>
  <c r="F55" i="34" s="1"/>
  <c r="F56" i="34" s="1"/>
  <c r="F57" i="34" s="1"/>
  <c r="F58" i="34" s="1"/>
  <c r="E49" i="34"/>
  <c r="E50" i="34" s="1"/>
  <c r="E51" i="34" s="1"/>
  <c r="E52" i="34" s="1"/>
  <c r="E53" i="34" s="1"/>
  <c r="E54" i="34" s="1"/>
  <c r="E55" i="34" s="1"/>
  <c r="E56" i="34" s="1"/>
  <c r="E57" i="34" s="1"/>
  <c r="E58" i="34" s="1"/>
  <c r="D49" i="34"/>
  <c r="D50" i="34" s="1"/>
  <c r="D51" i="34" s="1"/>
  <c r="D52" i="34" s="1"/>
  <c r="D53" i="34" s="1"/>
  <c r="D54" i="34" s="1"/>
  <c r="D55" i="34" s="1"/>
  <c r="D56" i="34" s="1"/>
  <c r="D57" i="34" s="1"/>
  <c r="D58" i="34" s="1"/>
  <c r="C49" i="34"/>
  <c r="C50" i="34" s="1"/>
  <c r="C51" i="34" s="1"/>
  <c r="C52" i="34" s="1"/>
  <c r="C53" i="34" s="1"/>
  <c r="C54" i="34" s="1"/>
  <c r="C55" i="34" s="1"/>
  <c r="C56" i="34" s="1"/>
  <c r="C57" i="34" s="1"/>
  <c r="C58" i="34" s="1"/>
  <c r="C30" i="21"/>
  <c r="E15" i="21"/>
  <c r="D15" i="21" s="1"/>
  <c r="D14" i="21"/>
  <c r="E14" i="21" s="1"/>
  <c r="D13" i="21"/>
  <c r="E13" i="21" s="1"/>
  <c r="D6" i="21"/>
  <c r="E6" i="21" s="1"/>
  <c r="E8" i="21" s="1"/>
  <c r="C35" i="20"/>
  <c r="C29" i="20"/>
  <c r="C28" i="20"/>
  <c r="C13" i="20"/>
  <c r="C6" i="20"/>
  <c r="B8" i="2"/>
  <c r="B9" i="2" s="1"/>
  <c r="AU7" i="2"/>
  <c r="AT7" i="2"/>
  <c r="AS7" i="2"/>
  <c r="AR7" i="2"/>
  <c r="AQ7" i="2"/>
  <c r="AP7" i="2"/>
  <c r="AI7" i="2"/>
  <c r="AC7" i="2"/>
  <c r="Y7" i="2"/>
  <c r="R7" i="2"/>
  <c r="O7" i="2"/>
  <c r="AU6" i="2"/>
  <c r="AT6" i="2"/>
  <c r="AS6" i="2"/>
  <c r="AR6" i="2"/>
  <c r="AQ6" i="2"/>
  <c r="AP6" i="2"/>
  <c r="AM6" i="2"/>
  <c r="AK6" i="2"/>
  <c r="Z6" i="2"/>
  <c r="V6" i="2"/>
  <c r="U6" i="2"/>
  <c r="E6" i="2"/>
  <c r="B2" i="2"/>
  <c r="C34" i="1"/>
  <c r="C32" i="1"/>
  <c r="C21" i="20" s="1"/>
  <c r="K18" i="1"/>
  <c r="K19" i="1" s="1"/>
  <c r="H19" i="1" s="1"/>
  <c r="C13" i="1"/>
  <c r="C12" i="1"/>
  <c r="H11" i="1"/>
  <c r="C11" i="1"/>
  <c r="D7" i="2" s="1"/>
  <c r="H9" i="1"/>
  <c r="C22" i="20" s="1"/>
  <c r="C8" i="1"/>
  <c r="J9" i="40" s="1"/>
  <c r="C6" i="1"/>
  <c r="E21" i="21" s="1"/>
  <c r="E27" i="30"/>
  <c r="L21" i="30"/>
  <c r="E16" i="30" s="1"/>
  <c r="B18" i="30"/>
  <c r="F17" i="30"/>
  <c r="H11" i="30"/>
  <c r="I9" i="30"/>
  <c r="E8" i="30"/>
  <c r="B32" i="44"/>
  <c r="F28" i="44"/>
  <c r="B26" i="44"/>
  <c r="F2" i="44"/>
  <c r="J30" i="40"/>
  <c r="J28" i="40"/>
  <c r="I26" i="40"/>
  <c r="I24" i="40"/>
  <c r="D24" i="40"/>
  <c r="J17" i="40"/>
  <c r="J11" i="40"/>
  <c r="J7" i="40"/>
  <c r="C21" i="36"/>
  <c r="F21" i="36" s="1"/>
  <c r="C14" i="36"/>
  <c r="F12" i="36" s="1"/>
  <c r="C13" i="36"/>
  <c r="F14" i="36" s="1"/>
  <c r="C12" i="36"/>
  <c r="F13" i="36" s="1"/>
  <c r="D10" i="36"/>
  <c r="C7" i="36"/>
  <c r="D63" i="37"/>
  <c r="B63" i="37"/>
  <c r="F26" i="37"/>
  <c r="L68" i="37" s="1"/>
  <c r="C26" i="37"/>
  <c r="L60" i="37" s="1"/>
  <c r="F21" i="37"/>
  <c r="C21" i="37"/>
  <c r="F19" i="37"/>
  <c r="C19" i="37"/>
  <c r="F14" i="37"/>
  <c r="I15" i="37" s="1"/>
  <c r="C14" i="37"/>
  <c r="I14" i="37" s="1"/>
  <c r="F13" i="37"/>
  <c r="F15" i="37" s="1"/>
  <c r="C13" i="37"/>
  <c r="F10" i="37"/>
  <c r="C10" i="37"/>
  <c r="F9" i="37"/>
  <c r="C9" i="37"/>
  <c r="F8" i="37"/>
  <c r="C8" i="37"/>
  <c r="F7" i="37"/>
  <c r="C7" i="37"/>
  <c r="F5" i="37"/>
  <c r="K66" i="37" s="1"/>
  <c r="C5" i="37"/>
  <c r="K58" i="37" s="1"/>
  <c r="F4" i="37"/>
  <c r="C4" i="37"/>
  <c r="E2" i="37"/>
  <c r="B2" i="37"/>
  <c r="E18" i="33"/>
  <c r="C17" i="36" s="1"/>
  <c r="E14" i="33"/>
  <c r="L31" i="33" s="1"/>
  <c r="C14" i="33"/>
  <c r="E9" i="33"/>
  <c r="E5" i="33"/>
  <c r="L39" i="33" s="1"/>
  <c r="C5" i="33"/>
  <c r="K38" i="33" s="1"/>
  <c r="I19" i="32"/>
  <c r="J19" i="32" s="1"/>
  <c r="C15" i="37" l="1"/>
  <c r="C20" i="37" s="1"/>
  <c r="G8" i="46"/>
  <c r="C24" i="20"/>
  <c r="O8" i="2"/>
  <c r="I8" i="2"/>
  <c r="H7" i="2"/>
  <c r="J7" i="2" s="1"/>
  <c r="AP9" i="2"/>
  <c r="R9" i="2"/>
  <c r="AT9" i="2"/>
  <c r="AU9" i="2"/>
  <c r="AS9" i="2"/>
  <c r="R8" i="2"/>
  <c r="AC8" i="2"/>
  <c r="AE8" i="2"/>
  <c r="AI8" i="2"/>
  <c r="AS8" i="2"/>
  <c r="AT8" i="2"/>
  <c r="AU8" i="2"/>
  <c r="AP8" i="2"/>
  <c r="P7" i="2"/>
  <c r="C7" i="2"/>
  <c r="D8" i="2"/>
  <c r="C8" i="2" s="1"/>
  <c r="D15" i="36"/>
  <c r="Z7" i="2"/>
  <c r="Y8" i="2" s="1"/>
  <c r="Z8" i="2" s="1"/>
  <c r="E7" i="2"/>
  <c r="F7" i="2"/>
  <c r="F8" i="2" s="1"/>
  <c r="F9" i="2" s="1"/>
  <c r="D8" i="21"/>
  <c r="C17" i="1"/>
  <c r="C18" i="1" s="1"/>
  <c r="AE9" i="2"/>
  <c r="C11" i="37"/>
  <c r="F17" i="37"/>
  <c r="I7" i="2"/>
  <c r="K7" i="2" s="1"/>
  <c r="K74" i="37"/>
  <c r="W6" i="2"/>
  <c r="S7" i="2"/>
  <c r="F16" i="37"/>
  <c r="F20" i="37"/>
  <c r="J15" i="40"/>
  <c r="C6" i="36"/>
  <c r="D8" i="36" s="1"/>
  <c r="F7" i="33"/>
  <c r="K30" i="33"/>
  <c r="F16" i="33"/>
  <c r="F11" i="37"/>
  <c r="C7" i="20"/>
  <c r="H14" i="1"/>
  <c r="C10" i="1"/>
  <c r="AR9" i="2"/>
  <c r="I9" i="2"/>
  <c r="AQ9" i="2"/>
  <c r="AI9" i="2"/>
  <c r="O9" i="2"/>
  <c r="B10" i="2"/>
  <c r="AC9" i="2"/>
  <c r="H9" i="2"/>
  <c r="C14" i="1"/>
  <c r="C31" i="20"/>
  <c r="AQ8" i="2"/>
  <c r="H8" i="2"/>
  <c r="AR8" i="2"/>
  <c r="E8" i="2" l="1"/>
  <c r="C16" i="37"/>
  <c r="C17" i="37"/>
  <c r="D19" i="36"/>
  <c r="C23" i="36" s="1"/>
  <c r="B23" i="36" s="1"/>
  <c r="G9" i="46"/>
  <c r="C33" i="20"/>
  <c r="C37" i="20" s="1"/>
  <c r="B37" i="20" s="1"/>
  <c r="Q7" i="2"/>
  <c r="U7" i="2" s="1"/>
  <c r="J8" i="2" s="1"/>
  <c r="L7" i="2"/>
  <c r="J24" i="40"/>
  <c r="G8" i="2"/>
  <c r="T7" i="2"/>
  <c r="AN7" i="2"/>
  <c r="AN8" i="2"/>
  <c r="G7" i="2"/>
  <c r="D9" i="2"/>
  <c r="Y9" i="2"/>
  <c r="Z9" i="2" s="1"/>
  <c r="Y10" i="2" s="1"/>
  <c r="Z10" i="2" s="1"/>
  <c r="F22" i="37"/>
  <c r="F24" i="37" s="1"/>
  <c r="B11" i="2"/>
  <c r="AE10" i="2"/>
  <c r="O10" i="2"/>
  <c r="AU10" i="2"/>
  <c r="H10" i="2"/>
  <c r="AT10" i="2"/>
  <c r="F10" i="2"/>
  <c r="AS10" i="2"/>
  <c r="AP10" i="2"/>
  <c r="X10" i="2"/>
  <c r="R10" i="2"/>
  <c r="AR10" i="2"/>
  <c r="AQ10" i="2"/>
  <c r="AC10" i="2"/>
  <c r="AI10" i="2"/>
  <c r="I10" i="2"/>
  <c r="C9" i="20"/>
  <c r="C17" i="20" s="1"/>
  <c r="AJ6" i="2"/>
  <c r="C23" i="1"/>
  <c r="H16" i="1"/>
  <c r="AB10" i="2" s="1"/>
  <c r="C22" i="37"/>
  <c r="C24" i="37" s="1"/>
  <c r="L40" i="33"/>
  <c r="F11" i="33"/>
  <c r="B11" i="33" s="1"/>
  <c r="B7" i="33"/>
  <c r="E23" i="21"/>
  <c r="E22" i="21"/>
  <c r="X8" i="2"/>
  <c r="AA8" i="2" s="1"/>
  <c r="X7" i="2"/>
  <c r="AA7" i="2" s="1"/>
  <c r="X9" i="2"/>
  <c r="C19" i="1"/>
  <c r="E12" i="21"/>
  <c r="F20" i="33"/>
  <c r="B20" i="33" s="1"/>
  <c r="B16" i="33"/>
  <c r="L32" i="33"/>
  <c r="E9" i="2" l="1"/>
  <c r="B19" i="36"/>
  <c r="G10" i="46"/>
  <c r="P8" i="2"/>
  <c r="Q8" i="2" s="1"/>
  <c r="U8" i="2" s="1"/>
  <c r="J9" i="2" s="1"/>
  <c r="AD10" i="2"/>
  <c r="AA9" i="2"/>
  <c r="D10" i="2"/>
  <c r="AN10" i="2" s="1"/>
  <c r="V7" i="2"/>
  <c r="J26" i="40"/>
  <c r="J33" i="40" s="1"/>
  <c r="AN9" i="2"/>
  <c r="C9" i="2"/>
  <c r="G9" i="2"/>
  <c r="C28" i="37"/>
  <c r="L62" i="37" s="1"/>
  <c r="L59" i="37"/>
  <c r="L61" i="37" s="1"/>
  <c r="F28" i="37"/>
  <c r="L70" i="37" s="1"/>
  <c r="L67" i="37"/>
  <c r="L69" i="37" s="1"/>
  <c r="E30" i="21"/>
  <c r="D12" i="21"/>
  <c r="D17" i="21" s="1"/>
  <c r="E17" i="21"/>
  <c r="E24" i="21"/>
  <c r="E31" i="21" s="1"/>
  <c r="D31" i="21" s="1"/>
  <c r="AB7" i="2"/>
  <c r="AD7" i="2" s="1"/>
  <c r="AB8" i="2"/>
  <c r="AD8" i="2" s="1"/>
  <c r="AB9" i="2"/>
  <c r="AD9" i="2" s="1"/>
  <c r="AT11" i="2"/>
  <c r="AS11" i="2"/>
  <c r="Y11" i="2"/>
  <c r="Z11" i="2" s="1"/>
  <c r="AR11" i="2"/>
  <c r="X11" i="2"/>
  <c r="AQ11" i="2"/>
  <c r="AE11" i="2"/>
  <c r="B12" i="2"/>
  <c r="F11" i="2"/>
  <c r="AU11" i="2"/>
  <c r="AP11" i="2"/>
  <c r="I11" i="2"/>
  <c r="H11" i="2"/>
  <c r="AI11" i="2"/>
  <c r="AC11" i="2"/>
  <c r="AB11" i="2"/>
  <c r="O11" i="2"/>
  <c r="R11" i="2"/>
  <c r="AE7" i="2"/>
  <c r="J13" i="40"/>
  <c r="C24" i="1"/>
  <c r="B24" i="1" s="1"/>
  <c r="AA10" i="2"/>
  <c r="G11" i="46" l="1"/>
  <c r="P9" i="2"/>
  <c r="Q9" i="2" s="1"/>
  <c r="U9" i="2" s="1"/>
  <c r="AD11" i="2"/>
  <c r="G10" i="2"/>
  <c r="D11" i="2"/>
  <c r="AN11" i="2" s="1"/>
  <c r="AF7" i="2"/>
  <c r="D26" i="40" s="1"/>
  <c r="C10" i="2"/>
  <c r="S8" i="2"/>
  <c r="AF8" i="2" s="1"/>
  <c r="AJ8" i="2" s="1"/>
  <c r="K8" i="2"/>
  <c r="W7" i="2"/>
  <c r="AA11" i="2"/>
  <c r="E10" i="2"/>
  <c r="L76" i="37"/>
  <c r="E26" i="21"/>
  <c r="L75" i="37"/>
  <c r="AQ12" i="2"/>
  <c r="H12" i="2"/>
  <c r="AP12" i="2"/>
  <c r="Y12" i="2"/>
  <c r="Z12" i="2" s="1"/>
  <c r="X12" i="2"/>
  <c r="F12" i="2"/>
  <c r="AR12" i="2"/>
  <c r="R12" i="2"/>
  <c r="AI12" i="2"/>
  <c r="O12" i="2"/>
  <c r="AC12" i="2"/>
  <c r="AE12" i="2"/>
  <c r="AB12" i="2"/>
  <c r="AU12" i="2"/>
  <c r="I12" i="2"/>
  <c r="AS12" i="2"/>
  <c r="B13" i="2"/>
  <c r="AT12" i="2"/>
  <c r="D30" i="21"/>
  <c r="E33" i="21"/>
  <c r="D33" i="21" s="1"/>
  <c r="G12" i="46" l="1"/>
  <c r="C11" i="2"/>
  <c r="E11" i="2"/>
  <c r="D12" i="2"/>
  <c r="AN12" i="2" s="1"/>
  <c r="AA12" i="2"/>
  <c r="G11" i="2"/>
  <c r="AJ7" i="2"/>
  <c r="AG7" i="2"/>
  <c r="AL7" i="2" s="1"/>
  <c r="Q5" i="46" s="1"/>
  <c r="I5" i="46" s="1"/>
  <c r="J5" i="46" s="1"/>
  <c r="K5" i="46" s="1"/>
  <c r="L5" i="46" s="1"/>
  <c r="AD12" i="2"/>
  <c r="T8" i="2"/>
  <c r="V8" i="2" s="1"/>
  <c r="L8" i="2"/>
  <c r="AG8" i="2" s="1"/>
  <c r="AK8" i="2" s="1"/>
  <c r="C26" i="40"/>
  <c r="D33" i="40"/>
  <c r="C38" i="40" s="1"/>
  <c r="E37" i="21"/>
  <c r="P10" i="2"/>
  <c r="J10" i="2"/>
  <c r="B14" i="2"/>
  <c r="AE13" i="2"/>
  <c r="O13" i="2"/>
  <c r="AU13" i="2"/>
  <c r="AT13" i="2"/>
  <c r="AC13" i="2"/>
  <c r="AS13" i="2"/>
  <c r="AB13" i="2"/>
  <c r="R13" i="2"/>
  <c r="AI13" i="2"/>
  <c r="H13" i="2"/>
  <c r="Y13" i="2"/>
  <c r="Z13" i="2" s="1"/>
  <c r="X13" i="2"/>
  <c r="I13" i="2"/>
  <c r="AR13" i="2"/>
  <c r="F13" i="2"/>
  <c r="AQ13" i="2"/>
  <c r="AP13" i="2"/>
  <c r="AM7" i="2" l="1"/>
  <c r="AM8" i="2" s="1"/>
  <c r="AK7" i="2"/>
  <c r="M5" i="46"/>
  <c r="N5" i="46"/>
  <c r="G13" i="46"/>
  <c r="G12" i="2"/>
  <c r="I13" i="30"/>
  <c r="D13" i="2"/>
  <c r="AN13" i="2" s="1"/>
  <c r="E12" i="2"/>
  <c r="C12" i="2"/>
  <c r="AL8" i="2"/>
  <c r="Q6" i="46" s="1"/>
  <c r="I6" i="46" s="1"/>
  <c r="J6" i="46" s="1"/>
  <c r="AD13" i="2"/>
  <c r="K9" i="2"/>
  <c r="S9" i="2"/>
  <c r="AF9" i="2" s="1"/>
  <c r="AJ9" i="2" s="1"/>
  <c r="W8" i="2"/>
  <c r="AA13" i="2"/>
  <c r="R14" i="2"/>
  <c r="AI14" i="2"/>
  <c r="AQ14" i="2"/>
  <c r="AP14" i="2"/>
  <c r="O14" i="2"/>
  <c r="AE14" i="2"/>
  <c r="I14" i="2"/>
  <c r="B15" i="2"/>
  <c r="AR14" i="2"/>
  <c r="AU14" i="2"/>
  <c r="H14" i="2"/>
  <c r="AS14" i="2"/>
  <c r="AT14" i="2"/>
  <c r="F14" i="2"/>
  <c r="Y14" i="2"/>
  <c r="Z14" i="2" s="1"/>
  <c r="X14" i="2"/>
  <c r="AC14" i="2"/>
  <c r="AB14" i="2"/>
  <c r="Q10" i="2"/>
  <c r="U10" i="2" s="1"/>
  <c r="E39" i="21"/>
  <c r="D39" i="21" s="1"/>
  <c r="B35" i="21"/>
  <c r="B39" i="21"/>
  <c r="D37" i="21"/>
  <c r="B37" i="21"/>
  <c r="D14" i="2" l="1"/>
  <c r="AO7" i="2"/>
  <c r="E13" i="2"/>
  <c r="E14" i="2" s="1"/>
  <c r="O5" i="46"/>
  <c r="H6" i="46" s="1"/>
  <c r="K6" i="46" s="1"/>
  <c r="G13" i="2"/>
  <c r="G14" i="46"/>
  <c r="C13" i="2"/>
  <c r="AD14" i="2"/>
  <c r="T9" i="2"/>
  <c r="V9" i="2" s="1"/>
  <c r="L9" i="2"/>
  <c r="AG9" i="2" s="1"/>
  <c r="AM9" i="2" s="1"/>
  <c r="P11" i="2"/>
  <c r="J11" i="2"/>
  <c r="AT15" i="2"/>
  <c r="AB15" i="2"/>
  <c r="I15" i="2"/>
  <c r="AS15" i="2"/>
  <c r="H15" i="2"/>
  <c r="AR15" i="2"/>
  <c r="AQ15" i="2"/>
  <c r="Y15" i="2"/>
  <c r="Z15" i="2" s="1"/>
  <c r="F15" i="2"/>
  <c r="AU15" i="2"/>
  <c r="AP15" i="2"/>
  <c r="R15" i="2"/>
  <c r="B16" i="2"/>
  <c r="D15" i="2"/>
  <c r="AI15" i="2"/>
  <c r="AE15" i="2"/>
  <c r="AC15" i="2"/>
  <c r="X15" i="2"/>
  <c r="O15" i="2"/>
  <c r="G14" i="2"/>
  <c r="C14" i="2"/>
  <c r="AO8" i="2"/>
  <c r="AA14" i="2"/>
  <c r="AN14" i="2"/>
  <c r="AD15" i="2" l="1"/>
  <c r="L6" i="46"/>
  <c r="N6" i="46" s="1"/>
  <c r="G15" i="46"/>
  <c r="AA15" i="2"/>
  <c r="AK9" i="2"/>
  <c r="AL9" i="2"/>
  <c r="Q7" i="46" s="1"/>
  <c r="I7" i="46" s="1"/>
  <c r="J7" i="46" s="1"/>
  <c r="S10" i="2"/>
  <c r="AF10" i="2" s="1"/>
  <c r="AJ10" i="2" s="1"/>
  <c r="K10" i="2"/>
  <c r="W9" i="2"/>
  <c r="AO9" i="2" s="1"/>
  <c r="AQ16" i="2"/>
  <c r="H16" i="2"/>
  <c r="R16" i="2"/>
  <c r="AI16" i="2"/>
  <c r="AU16" i="2"/>
  <c r="X16" i="2"/>
  <c r="AT16" i="2"/>
  <c r="AS16" i="2"/>
  <c r="AR16" i="2"/>
  <c r="F16" i="2"/>
  <c r="AB16" i="2"/>
  <c r="AE16" i="2"/>
  <c r="AC16" i="2"/>
  <c r="Y16" i="2"/>
  <c r="Z16" i="2" s="1"/>
  <c r="I16" i="2"/>
  <c r="O16" i="2"/>
  <c r="D16" i="2"/>
  <c r="AN16" i="2" s="1"/>
  <c r="B17" i="2"/>
  <c r="AP16" i="2"/>
  <c r="C15" i="2"/>
  <c r="G15" i="2"/>
  <c r="E15" i="2"/>
  <c r="AN15" i="2"/>
  <c r="Q11" i="2"/>
  <c r="U11" i="2" s="1"/>
  <c r="M6" i="46" l="1"/>
  <c r="G16" i="46"/>
  <c r="T10" i="2"/>
  <c r="V10" i="2" s="1"/>
  <c r="L10" i="2"/>
  <c r="AG10" i="2" s="1"/>
  <c r="E16" i="2"/>
  <c r="P12" i="2"/>
  <c r="J12" i="2"/>
  <c r="C16" i="2"/>
  <c r="G16" i="2"/>
  <c r="AD16" i="2"/>
  <c r="B18" i="2"/>
  <c r="AE17" i="2"/>
  <c r="O17" i="2"/>
  <c r="AS17" i="2"/>
  <c r="H17" i="2"/>
  <c r="AR17" i="2"/>
  <c r="AQ17" i="2"/>
  <c r="Y17" i="2"/>
  <c r="Z17" i="2" s="1"/>
  <c r="F17" i="2"/>
  <c r="AP17" i="2"/>
  <c r="X17" i="2"/>
  <c r="AB17" i="2"/>
  <c r="AU17" i="2"/>
  <c r="R17" i="2"/>
  <c r="AI17" i="2"/>
  <c r="AC17" i="2"/>
  <c r="D17" i="2"/>
  <c r="AN17" i="2" s="1"/>
  <c r="I17" i="2"/>
  <c r="AT17" i="2"/>
  <c r="AA16" i="2"/>
  <c r="O6" i="46" l="1"/>
  <c r="H7" i="46" s="1"/>
  <c r="K7" i="46" s="1"/>
  <c r="L7" i="46" s="1"/>
  <c r="N7" i="46" s="1"/>
  <c r="G17" i="46"/>
  <c r="AA17" i="2"/>
  <c r="E17" i="2"/>
  <c r="AL10" i="2"/>
  <c r="Q8" i="46" s="1"/>
  <c r="I8" i="46" s="1"/>
  <c r="J8" i="46" s="1"/>
  <c r="AK10" i="2"/>
  <c r="AM10" i="2"/>
  <c r="K11" i="2"/>
  <c r="S11" i="2"/>
  <c r="AF11" i="2" s="1"/>
  <c r="W10" i="2"/>
  <c r="R18" i="2"/>
  <c r="AI18" i="2"/>
  <c r="O18" i="2"/>
  <c r="AB18" i="2"/>
  <c r="D18" i="2"/>
  <c r="AN18" i="2" s="1"/>
  <c r="B19" i="2"/>
  <c r="AU18" i="2"/>
  <c r="Y18" i="2"/>
  <c r="Z18" i="2" s="1"/>
  <c r="AR18" i="2"/>
  <c r="X18" i="2"/>
  <c r="AT18" i="2"/>
  <c r="I18" i="2"/>
  <c r="AS18" i="2"/>
  <c r="H18" i="2"/>
  <c r="AP18" i="2"/>
  <c r="F18" i="2"/>
  <c r="AQ18" i="2"/>
  <c r="AC18" i="2"/>
  <c r="AE18" i="2"/>
  <c r="AD17" i="2"/>
  <c r="G17" i="2"/>
  <c r="C17" i="2"/>
  <c r="Q12" i="2"/>
  <c r="U12" i="2" s="1"/>
  <c r="M7" i="46" l="1"/>
  <c r="G18" i="46"/>
  <c r="AO10" i="2"/>
  <c r="AD18" i="2"/>
  <c r="AA18" i="2"/>
  <c r="T11" i="2"/>
  <c r="V11" i="2" s="1"/>
  <c r="L11" i="2"/>
  <c r="AG11" i="2" s="1"/>
  <c r="AJ11" i="2"/>
  <c r="AP19" i="2"/>
  <c r="Y19" i="2"/>
  <c r="Z19" i="2" s="1"/>
  <c r="AS19" i="2"/>
  <c r="H19" i="2"/>
  <c r="AR19" i="2"/>
  <c r="F19" i="2"/>
  <c r="AQ19" i="2"/>
  <c r="X19" i="2"/>
  <c r="D19" i="2"/>
  <c r="AN19" i="2" s="1"/>
  <c r="I19" i="2"/>
  <c r="AE19" i="2"/>
  <c r="AC19" i="2"/>
  <c r="B20" i="2"/>
  <c r="R19" i="2"/>
  <c r="AT19" i="2"/>
  <c r="O19" i="2"/>
  <c r="AU19" i="2"/>
  <c r="AB19" i="2"/>
  <c r="AI19" i="2"/>
  <c r="P13" i="2"/>
  <c r="J13" i="2"/>
  <c r="C18" i="2"/>
  <c r="G18" i="2"/>
  <c r="E18" i="2"/>
  <c r="O7" i="46" l="1"/>
  <c r="H8" i="46" s="1"/>
  <c r="K8" i="46" s="1"/>
  <c r="L8" i="46" s="1"/>
  <c r="N8" i="46" s="1"/>
  <c r="AA19" i="2"/>
  <c r="G19" i="46"/>
  <c r="AD19" i="2"/>
  <c r="E19" i="2"/>
  <c r="AL11" i="2"/>
  <c r="Q9" i="46" s="1"/>
  <c r="I9" i="46" s="1"/>
  <c r="J9" i="46" s="1"/>
  <c r="AK11" i="2"/>
  <c r="AM11" i="2"/>
  <c r="K12" i="2"/>
  <c r="S12" i="2"/>
  <c r="AF12" i="2" s="1"/>
  <c r="W11" i="2"/>
  <c r="AO11" i="2" s="1"/>
  <c r="Q13" i="2"/>
  <c r="U13" i="2" s="1"/>
  <c r="AU20" i="2"/>
  <c r="R20" i="2"/>
  <c r="AI20" i="2"/>
  <c r="O20" i="2"/>
  <c r="AT20" i="2"/>
  <c r="AB20" i="2"/>
  <c r="D20" i="2"/>
  <c r="I20" i="2"/>
  <c r="H20" i="2"/>
  <c r="F20" i="2"/>
  <c r="B21" i="2"/>
  <c r="AR20" i="2"/>
  <c r="AS20" i="2"/>
  <c r="AQ20" i="2"/>
  <c r="AP20" i="2"/>
  <c r="Y20" i="2"/>
  <c r="Z20" i="2" s="1"/>
  <c r="X20" i="2"/>
  <c r="AE20" i="2"/>
  <c r="AC20" i="2"/>
  <c r="G19" i="2"/>
  <c r="C19" i="2"/>
  <c r="M8" i="46" l="1"/>
  <c r="G20" i="46"/>
  <c r="T12" i="2"/>
  <c r="V12" i="2" s="1"/>
  <c r="L12" i="2"/>
  <c r="AG12" i="2" s="1"/>
  <c r="AJ12" i="2"/>
  <c r="AA20" i="2"/>
  <c r="P14" i="2"/>
  <c r="J14" i="2"/>
  <c r="G20" i="2"/>
  <c r="C20" i="2"/>
  <c r="E20" i="2"/>
  <c r="AR21" i="2"/>
  <c r="AQ21" i="2"/>
  <c r="Y21" i="2"/>
  <c r="Z21" i="2" s="1"/>
  <c r="F21" i="2"/>
  <c r="AP21" i="2"/>
  <c r="X21" i="2"/>
  <c r="D21" i="2"/>
  <c r="AE21" i="2"/>
  <c r="B22" i="2"/>
  <c r="R21" i="2"/>
  <c r="AU21" i="2"/>
  <c r="AS21" i="2"/>
  <c r="I21" i="2"/>
  <c r="H21" i="2"/>
  <c r="AT21" i="2"/>
  <c r="AC21" i="2"/>
  <c r="O21" i="2"/>
  <c r="AB21" i="2"/>
  <c r="AI21" i="2"/>
  <c r="AD20" i="2"/>
  <c r="AN20" i="2"/>
  <c r="O8" i="46" l="1"/>
  <c r="H9" i="46" s="1"/>
  <c r="K9" i="46" s="1"/>
  <c r="L9" i="46" s="1"/>
  <c r="N9" i="46" s="1"/>
  <c r="G21" i="46"/>
  <c r="AA21" i="2"/>
  <c r="E21" i="2"/>
  <c r="AD21" i="2"/>
  <c r="AM12" i="2"/>
  <c r="AK12" i="2"/>
  <c r="AL12" i="2"/>
  <c r="Q10" i="46" s="1"/>
  <c r="I10" i="46" s="1"/>
  <c r="J10" i="46" s="1"/>
  <c r="S13" i="2"/>
  <c r="AF13" i="2" s="1"/>
  <c r="AJ13" i="2" s="1"/>
  <c r="K13" i="2"/>
  <c r="W12" i="2"/>
  <c r="AR22" i="2"/>
  <c r="I22" i="2"/>
  <c r="AQ22" i="2"/>
  <c r="Y22" i="2"/>
  <c r="Z22" i="2" s="1"/>
  <c r="F22" i="2"/>
  <c r="R22" i="2"/>
  <c r="AI22" i="2"/>
  <c r="O22" i="2"/>
  <c r="AP22" i="2"/>
  <c r="D22" i="2"/>
  <c r="E22" i="2" s="1"/>
  <c r="AE22" i="2"/>
  <c r="AU22" i="2"/>
  <c r="B23" i="2"/>
  <c r="H22" i="2"/>
  <c r="AT22" i="2"/>
  <c r="AS22" i="2"/>
  <c r="AB22" i="2"/>
  <c r="X22" i="2"/>
  <c r="AC22" i="2"/>
  <c r="Q14" i="2"/>
  <c r="U14" i="2" s="1"/>
  <c r="G21" i="2"/>
  <c r="C21" i="2"/>
  <c r="AN21" i="2"/>
  <c r="M9" i="46" l="1"/>
  <c r="G22" i="46"/>
  <c r="AN22" i="2"/>
  <c r="AO12" i="2"/>
  <c r="AA22" i="2"/>
  <c r="T13" i="2"/>
  <c r="V13" i="2" s="1"/>
  <c r="L13" i="2"/>
  <c r="AG13" i="2" s="1"/>
  <c r="AM13" i="2" s="1"/>
  <c r="AD22" i="2"/>
  <c r="AI23" i="2"/>
  <c r="B24" i="2"/>
  <c r="AC23" i="2"/>
  <c r="I23" i="2"/>
  <c r="AU23" i="2"/>
  <c r="AB23" i="2"/>
  <c r="H23" i="2"/>
  <c r="AT23" i="2"/>
  <c r="AS23" i="2"/>
  <c r="F23" i="2"/>
  <c r="AP23" i="2"/>
  <c r="R23" i="2"/>
  <c r="O23" i="2"/>
  <c r="D23" i="2"/>
  <c r="AR23" i="2"/>
  <c r="AQ23" i="2"/>
  <c r="AE23" i="2"/>
  <c r="Y23" i="2"/>
  <c r="Z23" i="2" s="1"/>
  <c r="X23" i="2"/>
  <c r="P15" i="2"/>
  <c r="J15" i="2"/>
  <c r="C22" i="2"/>
  <c r="G22" i="2"/>
  <c r="O9" i="46" l="1"/>
  <c r="H10" i="46" s="1"/>
  <c r="K10" i="46" s="1"/>
  <c r="G23" i="46"/>
  <c r="AD23" i="2"/>
  <c r="AK13" i="2"/>
  <c r="AL13" i="2"/>
  <c r="Q11" i="46" s="1"/>
  <c r="I11" i="46" s="1"/>
  <c r="J11" i="46" s="1"/>
  <c r="S14" i="2"/>
  <c r="AF14" i="2" s="1"/>
  <c r="AJ14" i="2" s="1"/>
  <c r="K14" i="2"/>
  <c r="W13" i="2"/>
  <c r="AO13" i="2" s="1"/>
  <c r="Q15" i="2"/>
  <c r="U15" i="2" s="1"/>
  <c r="G23" i="2"/>
  <c r="C23" i="2"/>
  <c r="E23" i="2"/>
  <c r="B25" i="2"/>
  <c r="F24" i="2"/>
  <c r="AU24" i="2"/>
  <c r="Y24" i="2"/>
  <c r="Z24" i="2" s="1"/>
  <c r="AT24" i="2"/>
  <c r="X24" i="2"/>
  <c r="AS24" i="2"/>
  <c r="AR24" i="2"/>
  <c r="AE24" i="2"/>
  <c r="I24" i="2"/>
  <c r="AQ24" i="2"/>
  <c r="H24" i="2"/>
  <c r="AP24" i="2"/>
  <c r="AI24" i="2"/>
  <c r="D24" i="2"/>
  <c r="R24" i="2"/>
  <c r="O24" i="2"/>
  <c r="AC24" i="2"/>
  <c r="AB24" i="2"/>
  <c r="AA23" i="2"/>
  <c r="AN23" i="2"/>
  <c r="L10" i="46" l="1"/>
  <c r="N10" i="46" s="1"/>
  <c r="G24" i="46"/>
  <c r="T14" i="2"/>
  <c r="V14" i="2" s="1"/>
  <c r="L14" i="2"/>
  <c r="AG14" i="2" s="1"/>
  <c r="AA24" i="2"/>
  <c r="E24" i="2"/>
  <c r="AN24" i="2"/>
  <c r="AT25" i="2"/>
  <c r="AC25" i="2"/>
  <c r="AS25" i="2"/>
  <c r="AB25" i="2"/>
  <c r="AR25" i="2"/>
  <c r="I25" i="2"/>
  <c r="AQ25" i="2"/>
  <c r="H25" i="2"/>
  <c r="X25" i="2"/>
  <c r="Y25" i="2"/>
  <c r="Z25" i="2" s="1"/>
  <c r="B26" i="2"/>
  <c r="AU25" i="2"/>
  <c r="R25" i="2"/>
  <c r="AI25" i="2"/>
  <c r="AE25" i="2"/>
  <c r="O25" i="2"/>
  <c r="AP25" i="2"/>
  <c r="F25" i="2"/>
  <c r="D25" i="2"/>
  <c r="AN25" i="2" s="1"/>
  <c r="P16" i="2"/>
  <c r="J16" i="2"/>
  <c r="C24" i="2"/>
  <c r="G24" i="2"/>
  <c r="AD24" i="2"/>
  <c r="M10" i="46" l="1"/>
  <c r="O10" i="46" s="1"/>
  <c r="H11" i="46" s="1"/>
  <c r="K11" i="46" s="1"/>
  <c r="G25" i="46"/>
  <c r="AD25" i="2"/>
  <c r="AM14" i="2"/>
  <c r="AL14" i="2"/>
  <c r="Q12" i="46" s="1"/>
  <c r="I12" i="46" s="1"/>
  <c r="J12" i="46" s="1"/>
  <c r="AK14" i="2"/>
  <c r="AA25" i="2"/>
  <c r="S15" i="2"/>
  <c r="AF15" i="2" s="1"/>
  <c r="K15" i="2"/>
  <c r="W14" i="2"/>
  <c r="AO14" i="2" s="1"/>
  <c r="G25" i="2"/>
  <c r="C25" i="2"/>
  <c r="E25" i="2"/>
  <c r="B27" i="2"/>
  <c r="AI26" i="2"/>
  <c r="R26" i="2"/>
  <c r="AE26" i="2"/>
  <c r="O26" i="2"/>
  <c r="AT26" i="2"/>
  <c r="Y26" i="2"/>
  <c r="AB26" i="2"/>
  <c r="D26" i="2"/>
  <c r="Z26" i="2"/>
  <c r="AU26" i="2"/>
  <c r="X26" i="2"/>
  <c r="AA26" i="2" s="1"/>
  <c r="AQ26" i="2"/>
  <c r="AC26" i="2"/>
  <c r="F26" i="2"/>
  <c r="AS26" i="2"/>
  <c r="AR26" i="2"/>
  <c r="AP26" i="2"/>
  <c r="I26" i="2"/>
  <c r="H26" i="2"/>
  <c r="Q16" i="2"/>
  <c r="U16" i="2" s="1"/>
  <c r="L11" i="46" l="1"/>
  <c r="N11" i="46" s="1"/>
  <c r="G26" i="46"/>
  <c r="E26" i="2"/>
  <c r="T15" i="2"/>
  <c r="V15" i="2" s="1"/>
  <c r="L15" i="2"/>
  <c r="AG15" i="2" s="1"/>
  <c r="AM15" i="2" s="1"/>
  <c r="AJ15" i="2"/>
  <c r="B28" i="2"/>
  <c r="F27" i="2"/>
  <c r="AU27" i="2"/>
  <c r="Y27" i="2"/>
  <c r="Z27" i="2" s="1"/>
  <c r="AT27" i="2"/>
  <c r="X27" i="2"/>
  <c r="D27" i="2"/>
  <c r="AN27" i="2" s="1"/>
  <c r="AS27" i="2"/>
  <c r="AE27" i="2"/>
  <c r="I27" i="2"/>
  <c r="H27" i="2"/>
  <c r="R27" i="2"/>
  <c r="AR27" i="2"/>
  <c r="AP27" i="2"/>
  <c r="AI27" i="2"/>
  <c r="O27" i="2"/>
  <c r="AQ27" i="2"/>
  <c r="C26" i="2"/>
  <c r="G26" i="2"/>
  <c r="AN26" i="2"/>
  <c r="AD26" i="2"/>
  <c r="P17" i="2"/>
  <c r="J17" i="2"/>
  <c r="M11" i="46" l="1"/>
  <c r="O11" i="46" s="1"/>
  <c r="H12" i="46" s="1"/>
  <c r="K12" i="46" s="1"/>
  <c r="G27" i="46"/>
  <c r="E27" i="2"/>
  <c r="AL15" i="2"/>
  <c r="Q13" i="46" s="1"/>
  <c r="I13" i="46" s="1"/>
  <c r="J13" i="46" s="1"/>
  <c r="AK15" i="2"/>
  <c r="S16" i="2"/>
  <c r="AF16" i="2" s="1"/>
  <c r="K16" i="2"/>
  <c r="W15" i="2"/>
  <c r="AO15" i="2" s="1"/>
  <c r="Q17" i="2"/>
  <c r="U17" i="2" s="1"/>
  <c r="B29" i="2"/>
  <c r="AE28" i="2"/>
  <c r="AU28" i="2"/>
  <c r="I28" i="2"/>
  <c r="AR28" i="2"/>
  <c r="AQ28" i="2"/>
  <c r="AP28" i="2"/>
  <c r="H28" i="2"/>
  <c r="Y28" i="2"/>
  <c r="Z28" i="2" s="1"/>
  <c r="X28" i="2"/>
  <c r="R28" i="2"/>
  <c r="O28" i="2"/>
  <c r="D28" i="2"/>
  <c r="AI28" i="2"/>
  <c r="AT28" i="2"/>
  <c r="AS28" i="2"/>
  <c r="F28" i="2"/>
  <c r="C27" i="2"/>
  <c r="G27" i="2"/>
  <c r="AA27" i="2"/>
  <c r="L12" i="46" l="1"/>
  <c r="N12" i="46" s="1"/>
  <c r="AA28" i="2"/>
  <c r="G28" i="46"/>
  <c r="E28" i="2"/>
  <c r="T16" i="2"/>
  <c r="V16" i="2" s="1"/>
  <c r="L16" i="2"/>
  <c r="AG16" i="2" s="1"/>
  <c r="AJ16" i="2"/>
  <c r="AP29" i="2"/>
  <c r="R29" i="2"/>
  <c r="O29" i="2"/>
  <c r="B30" i="2"/>
  <c r="AS29" i="2"/>
  <c r="I29" i="2"/>
  <c r="AR29" i="2"/>
  <c r="H29" i="2"/>
  <c r="AQ29" i="2"/>
  <c r="F29" i="2"/>
  <c r="X29" i="2"/>
  <c r="AI29" i="2"/>
  <c r="AE29" i="2"/>
  <c r="D29" i="2"/>
  <c r="Y29" i="2"/>
  <c r="Z29" i="2" s="1"/>
  <c r="AU29" i="2"/>
  <c r="AT29" i="2"/>
  <c r="G28" i="2"/>
  <c r="C28" i="2"/>
  <c r="P18" i="2"/>
  <c r="J18" i="2"/>
  <c r="AN28" i="2"/>
  <c r="E29" i="2" l="1"/>
  <c r="M12" i="46"/>
  <c r="O12" i="46" s="1"/>
  <c r="H13" i="46" s="1"/>
  <c r="K13" i="46" s="1"/>
  <c r="L13" i="46" s="1"/>
  <c r="N13" i="46" s="1"/>
  <c r="G29" i="46"/>
  <c r="AL16" i="2"/>
  <c r="Q14" i="46" s="1"/>
  <c r="I14" i="46" s="1"/>
  <c r="J14" i="46" s="1"/>
  <c r="AK16" i="2"/>
  <c r="AM16" i="2"/>
  <c r="S17" i="2"/>
  <c r="AF17" i="2" s="1"/>
  <c r="K17" i="2"/>
  <c r="W16" i="2"/>
  <c r="AO16" i="2" s="1"/>
  <c r="G29" i="2"/>
  <c r="C29" i="2"/>
  <c r="AN29" i="2"/>
  <c r="B31" i="2"/>
  <c r="AE30" i="2"/>
  <c r="AU30" i="2"/>
  <c r="I30" i="2"/>
  <c r="O30" i="2"/>
  <c r="AI30" i="2"/>
  <c r="Y30" i="2"/>
  <c r="Z30" i="2" s="1"/>
  <c r="X30" i="2"/>
  <c r="AP30" i="2"/>
  <c r="F30" i="2"/>
  <c r="AR30" i="2"/>
  <c r="AQ30" i="2"/>
  <c r="H30" i="2"/>
  <c r="R30" i="2"/>
  <c r="D30" i="2"/>
  <c r="AN30" i="2" s="1"/>
  <c r="AT30" i="2"/>
  <c r="AS30" i="2"/>
  <c r="Q18" i="2"/>
  <c r="U18" i="2" s="1"/>
  <c r="AA29" i="2"/>
  <c r="M13" i="46" l="1"/>
  <c r="G30" i="46"/>
  <c r="E30" i="2"/>
  <c r="T17" i="2"/>
  <c r="V17" i="2" s="1"/>
  <c r="L17" i="2"/>
  <c r="AG17" i="2" s="1"/>
  <c r="AM17" i="2" s="1"/>
  <c r="AJ17" i="2"/>
  <c r="I31" i="2"/>
  <c r="AE31" i="2"/>
  <c r="H31" i="2"/>
  <c r="AQ31" i="2"/>
  <c r="O31" i="2"/>
  <c r="AP31" i="2"/>
  <c r="AU31" i="2"/>
  <c r="AT31" i="2"/>
  <c r="AS31" i="2"/>
  <c r="AR31" i="2"/>
  <c r="F31" i="2"/>
  <c r="X31" i="2"/>
  <c r="B32" i="2"/>
  <c r="R31" i="2"/>
  <c r="AI31" i="2"/>
  <c r="Y31" i="2"/>
  <c r="Z31" i="2" s="1"/>
  <c r="D31" i="2"/>
  <c r="AN31" i="2" s="1"/>
  <c r="P19" i="2"/>
  <c r="J19" i="2"/>
  <c r="AA30" i="2"/>
  <c r="C30" i="2"/>
  <c r="G30" i="2"/>
  <c r="O13" i="46" l="1"/>
  <c r="H14" i="46" s="1"/>
  <c r="K14" i="46" s="1"/>
  <c r="L14" i="46" s="1"/>
  <c r="N14" i="46" s="1"/>
  <c r="G31" i="46"/>
  <c r="AK17" i="2"/>
  <c r="AL17" i="2"/>
  <c r="Q15" i="46" s="1"/>
  <c r="I15" i="46" s="1"/>
  <c r="J15" i="46" s="1"/>
  <c r="S18" i="2"/>
  <c r="AF18" i="2" s="1"/>
  <c r="AJ18" i="2" s="1"/>
  <c r="K18" i="2"/>
  <c r="W17" i="2"/>
  <c r="AO17" i="2" s="1"/>
  <c r="AA31" i="2"/>
  <c r="Q19" i="2"/>
  <c r="U19" i="2" s="1"/>
  <c r="G31" i="2"/>
  <c r="C31" i="2"/>
  <c r="B33" i="2"/>
  <c r="AE32" i="2"/>
  <c r="AU32" i="2"/>
  <c r="I32" i="2"/>
  <c r="F32" i="2"/>
  <c r="Y32" i="2"/>
  <c r="Z32" i="2" s="1"/>
  <c r="AT32" i="2"/>
  <c r="X32" i="2"/>
  <c r="D32" i="2"/>
  <c r="AN32" i="2" s="1"/>
  <c r="AS32" i="2"/>
  <c r="AI32" i="2"/>
  <c r="AP32" i="2"/>
  <c r="AR32" i="2"/>
  <c r="AQ32" i="2"/>
  <c r="H32" i="2"/>
  <c r="R32" i="2"/>
  <c r="O32" i="2"/>
  <c r="E31" i="2"/>
  <c r="M14" i="46" l="1"/>
  <c r="O14" i="46" s="1"/>
  <c r="G32" i="46"/>
  <c r="AA32" i="2"/>
  <c r="T18" i="2"/>
  <c r="V18" i="2" s="1"/>
  <c r="L18" i="2"/>
  <c r="AG18" i="2" s="1"/>
  <c r="C32" i="2"/>
  <c r="G32" i="2"/>
  <c r="P20" i="2"/>
  <c r="J20" i="2"/>
  <c r="E32" i="2"/>
  <c r="AT33" i="2"/>
  <c r="X33" i="2"/>
  <c r="D33" i="2"/>
  <c r="AS33" i="2"/>
  <c r="AR33" i="2"/>
  <c r="AQ33" i="2"/>
  <c r="AI33" i="2"/>
  <c r="F33" i="2"/>
  <c r="AE33" i="2"/>
  <c r="O33" i="2"/>
  <c r="AP33" i="2"/>
  <c r="I33" i="2"/>
  <c r="H33" i="2"/>
  <c r="B34" i="2"/>
  <c r="AU33" i="2"/>
  <c r="R33" i="2"/>
  <c r="Y33" i="2"/>
  <c r="Z33" i="2" s="1"/>
  <c r="H15" i="46" l="1"/>
  <c r="K15" i="46" s="1"/>
  <c r="L15" i="46" s="1"/>
  <c r="G33" i="46"/>
  <c r="E33" i="2"/>
  <c r="AL18" i="2"/>
  <c r="Q16" i="46" s="1"/>
  <c r="I16" i="46" s="1"/>
  <c r="J16" i="46" s="1"/>
  <c r="AM18" i="2"/>
  <c r="AK18" i="2"/>
  <c r="AA33" i="2"/>
  <c r="S19" i="2"/>
  <c r="AF19" i="2" s="1"/>
  <c r="K19" i="2"/>
  <c r="W18" i="2"/>
  <c r="AO18" i="2" s="1"/>
  <c r="C33" i="2"/>
  <c r="G33" i="2"/>
  <c r="AN33" i="2"/>
  <c r="B35" i="2"/>
  <c r="AE34" i="2"/>
  <c r="AU34" i="2"/>
  <c r="I34" i="2"/>
  <c r="AP34" i="2"/>
  <c r="R34" i="2"/>
  <c r="AS34" i="2"/>
  <c r="O34" i="2"/>
  <c r="AR34" i="2"/>
  <c r="H34" i="2"/>
  <c r="AT34" i="2"/>
  <c r="F34" i="2"/>
  <c r="AQ34" i="2"/>
  <c r="D34" i="2"/>
  <c r="AN34" i="2" s="1"/>
  <c r="X34" i="2"/>
  <c r="Y34" i="2"/>
  <c r="Z34" i="2" s="1"/>
  <c r="AI34" i="2"/>
  <c r="Q20" i="2"/>
  <c r="U20" i="2" s="1"/>
  <c r="N15" i="46" l="1"/>
  <c r="M15" i="46"/>
  <c r="G34" i="46"/>
  <c r="AJ19" i="2"/>
  <c r="T19" i="2"/>
  <c r="V19" i="2" s="1"/>
  <c r="L19" i="2"/>
  <c r="AG19" i="2" s="1"/>
  <c r="AA34" i="2"/>
  <c r="P21" i="2"/>
  <c r="J21" i="2"/>
  <c r="C34" i="2"/>
  <c r="G34" i="2"/>
  <c r="E34" i="2"/>
  <c r="O35" i="2"/>
  <c r="AI35" i="2"/>
  <c r="Y35" i="2"/>
  <c r="Z35" i="2" s="1"/>
  <c r="X35" i="2"/>
  <c r="B36" i="2"/>
  <c r="AE35" i="2"/>
  <c r="R35" i="2"/>
  <c r="AR35" i="2"/>
  <c r="F35" i="2"/>
  <c r="AS35" i="2"/>
  <c r="AP35" i="2"/>
  <c r="AU35" i="2"/>
  <c r="AT35" i="2"/>
  <c r="AQ35" i="2"/>
  <c r="D35" i="2"/>
  <c r="AN35" i="2" s="1"/>
  <c r="I35" i="2"/>
  <c r="H35" i="2"/>
  <c r="O15" i="46" l="1"/>
  <c r="H16" i="46" s="1"/>
  <c r="K16" i="46" s="1"/>
  <c r="L16" i="46" s="1"/>
  <c r="N16" i="46" s="1"/>
  <c r="G35" i="46"/>
  <c r="AA35" i="2"/>
  <c r="AL19" i="2"/>
  <c r="Q17" i="46" s="1"/>
  <c r="I17" i="46" s="1"/>
  <c r="J17" i="46" s="1"/>
  <c r="AK19" i="2"/>
  <c r="AM19" i="2"/>
  <c r="K20" i="2"/>
  <c r="S20" i="2"/>
  <c r="AF20" i="2" s="1"/>
  <c r="AJ20" i="2" s="1"/>
  <c r="W19" i="2"/>
  <c r="E35" i="2"/>
  <c r="Q21" i="2"/>
  <c r="U21" i="2" s="1"/>
  <c r="B37" i="2"/>
  <c r="AE36" i="2"/>
  <c r="AU36" i="2"/>
  <c r="I36" i="2"/>
  <c r="AI36" i="2"/>
  <c r="H36" i="2"/>
  <c r="D36" i="2"/>
  <c r="AN36" i="2" s="1"/>
  <c r="R36" i="2"/>
  <c r="AT36" i="2"/>
  <c r="AQ36" i="2"/>
  <c r="F36" i="2"/>
  <c r="Y36" i="2"/>
  <c r="Z36" i="2" s="1"/>
  <c r="X36" i="2"/>
  <c r="O36" i="2"/>
  <c r="AR36" i="2"/>
  <c r="AP36" i="2"/>
  <c r="AS36" i="2"/>
  <c r="G35" i="2"/>
  <c r="C35" i="2"/>
  <c r="AO19" i="2" l="1"/>
  <c r="M16" i="46"/>
  <c r="G36" i="46"/>
  <c r="E36" i="2"/>
  <c r="T20" i="2"/>
  <c r="V20" i="2" s="1"/>
  <c r="L20" i="2"/>
  <c r="AG20" i="2" s="1"/>
  <c r="AM20" i="2" s="1"/>
  <c r="AE37" i="2"/>
  <c r="H37" i="2"/>
  <c r="B38" i="2"/>
  <c r="F37" i="2"/>
  <c r="AU37" i="2"/>
  <c r="Y37" i="2"/>
  <c r="Z37" i="2" s="1"/>
  <c r="AS37" i="2"/>
  <c r="AR37" i="2"/>
  <c r="AP37" i="2"/>
  <c r="AQ37" i="2"/>
  <c r="I37" i="2"/>
  <c r="D37" i="2"/>
  <c r="AT37" i="2"/>
  <c r="AI37" i="2"/>
  <c r="X37" i="2"/>
  <c r="R37" i="2"/>
  <c r="O37" i="2"/>
  <c r="P22" i="2"/>
  <c r="J22" i="2"/>
  <c r="G36" i="2"/>
  <c r="C36" i="2"/>
  <c r="AA36" i="2"/>
  <c r="O16" i="46" l="1"/>
  <c r="H17" i="46" s="1"/>
  <c r="K17" i="46" s="1"/>
  <c r="L17" i="46" s="1"/>
  <c r="N17" i="46" s="1"/>
  <c r="G37" i="46"/>
  <c r="AL20" i="2"/>
  <c r="Q18" i="46" s="1"/>
  <c r="I18" i="46" s="1"/>
  <c r="J18" i="46" s="1"/>
  <c r="AK20" i="2"/>
  <c r="S21" i="2"/>
  <c r="AF21" i="2" s="1"/>
  <c r="AJ21" i="2" s="1"/>
  <c r="K21" i="2"/>
  <c r="W20" i="2"/>
  <c r="AO20" i="2" s="1"/>
  <c r="G37" i="2"/>
  <c r="C37" i="2"/>
  <c r="Q22" i="2"/>
  <c r="U22" i="2" s="1"/>
  <c r="E37" i="2"/>
  <c r="AN37" i="2"/>
  <c r="AA37" i="2"/>
  <c r="B39" i="2"/>
  <c r="AE38" i="2"/>
  <c r="AU38" i="2"/>
  <c r="I38" i="2"/>
  <c r="AT38" i="2"/>
  <c r="X38" i="2"/>
  <c r="D38" i="2"/>
  <c r="AS38" i="2"/>
  <c r="AR38" i="2"/>
  <c r="AQ38" i="2"/>
  <c r="AI38" i="2"/>
  <c r="Y38" i="2"/>
  <c r="Z38" i="2" s="1"/>
  <c r="H38" i="2"/>
  <c r="AP38" i="2"/>
  <c r="O38" i="2"/>
  <c r="F38" i="2"/>
  <c r="R38" i="2"/>
  <c r="M17" i="46" l="1"/>
  <c r="G38" i="46"/>
  <c r="AA38" i="2"/>
  <c r="T21" i="2"/>
  <c r="V21" i="2" s="1"/>
  <c r="L21" i="2"/>
  <c r="AG21" i="2" s="1"/>
  <c r="C38" i="2"/>
  <c r="G38" i="2"/>
  <c r="E38" i="2"/>
  <c r="AR39" i="2"/>
  <c r="AQ39" i="2"/>
  <c r="AP39" i="2"/>
  <c r="R39" i="2"/>
  <c r="I39" i="2"/>
  <c r="H39" i="2"/>
  <c r="F39" i="2"/>
  <c r="O39" i="2"/>
  <c r="AT39" i="2"/>
  <c r="AE39" i="2"/>
  <c r="D39" i="2"/>
  <c r="AS39" i="2"/>
  <c r="B40" i="2"/>
  <c r="AU39" i="2"/>
  <c r="AI39" i="2"/>
  <c r="Y39" i="2"/>
  <c r="Z39" i="2" s="1"/>
  <c r="X39" i="2"/>
  <c r="P23" i="2"/>
  <c r="J23" i="2"/>
  <c r="AN38" i="2"/>
  <c r="AA39" i="2" l="1"/>
  <c r="O17" i="46"/>
  <c r="H18" i="46" s="1"/>
  <c r="K18" i="46" s="1"/>
  <c r="L18" i="46" s="1"/>
  <c r="N18" i="46" s="1"/>
  <c r="G39" i="46"/>
  <c r="E39" i="2"/>
  <c r="AK21" i="2"/>
  <c r="AM21" i="2"/>
  <c r="AL21" i="2"/>
  <c r="Q19" i="46" s="1"/>
  <c r="I19" i="46" s="1"/>
  <c r="J19" i="46" s="1"/>
  <c r="K22" i="2"/>
  <c r="S22" i="2"/>
  <c r="AF22" i="2" s="1"/>
  <c r="W21" i="2"/>
  <c r="AO21" i="2" s="1"/>
  <c r="Q23" i="2"/>
  <c r="U23" i="2" s="1"/>
  <c r="G39" i="2"/>
  <c r="C39" i="2"/>
  <c r="AN39" i="2"/>
  <c r="B41" i="2"/>
  <c r="AE40" i="2"/>
  <c r="AU40" i="2"/>
  <c r="I40" i="2"/>
  <c r="R40" i="2"/>
  <c r="O40" i="2"/>
  <c r="AT40" i="2"/>
  <c r="AR40" i="2"/>
  <c r="AQ40" i="2"/>
  <c r="F40" i="2"/>
  <c r="AP40" i="2"/>
  <c r="D40" i="2"/>
  <c r="AN40" i="2" s="1"/>
  <c r="H40" i="2"/>
  <c r="AI40" i="2"/>
  <c r="X40" i="2"/>
  <c r="Y40" i="2"/>
  <c r="Z40" i="2" s="1"/>
  <c r="AS40" i="2"/>
  <c r="M18" i="46" l="1"/>
  <c r="G40" i="46"/>
  <c r="T22" i="2"/>
  <c r="V22" i="2" s="1"/>
  <c r="L22" i="2"/>
  <c r="AG22" i="2" s="1"/>
  <c r="AM22" i="2" s="1"/>
  <c r="AJ22" i="2"/>
  <c r="C40" i="2"/>
  <c r="G40" i="2"/>
  <c r="AI41" i="2"/>
  <c r="I41" i="2"/>
  <c r="X41" i="2"/>
  <c r="AE41" i="2"/>
  <c r="Y41" i="2"/>
  <c r="Z41" i="2" s="1"/>
  <c r="R41" i="2"/>
  <c r="AR41" i="2"/>
  <c r="F41" i="2"/>
  <c r="AS41" i="2"/>
  <c r="AU41" i="2"/>
  <c r="AT41" i="2"/>
  <c r="AQ41" i="2"/>
  <c r="AP41" i="2"/>
  <c r="O41" i="2"/>
  <c r="H41" i="2"/>
  <c r="B42" i="2"/>
  <c r="D41" i="2"/>
  <c r="AN41" i="2" s="1"/>
  <c r="E40" i="2"/>
  <c r="P24" i="2"/>
  <c r="J24" i="2"/>
  <c r="AA40" i="2"/>
  <c r="O18" i="46" l="1"/>
  <c r="H19" i="46" s="1"/>
  <c r="K19" i="46" s="1"/>
  <c r="L19" i="46" s="1"/>
  <c r="N19" i="46" s="1"/>
  <c r="G41" i="46"/>
  <c r="AL22" i="2"/>
  <c r="Q20" i="46" s="1"/>
  <c r="I20" i="46" s="1"/>
  <c r="J20" i="46" s="1"/>
  <c r="AK22" i="2"/>
  <c r="E41" i="2"/>
  <c r="K23" i="2"/>
  <c r="S23" i="2"/>
  <c r="AF23" i="2" s="1"/>
  <c r="W22" i="2"/>
  <c r="AO22" i="2" s="1"/>
  <c r="B43" i="2"/>
  <c r="AE42" i="2"/>
  <c r="AU42" i="2"/>
  <c r="I42" i="2"/>
  <c r="H42" i="2"/>
  <c r="F42" i="2"/>
  <c r="Y42" i="2"/>
  <c r="Z42" i="2" s="1"/>
  <c r="O42" i="2"/>
  <c r="D42" i="2"/>
  <c r="AN42" i="2" s="1"/>
  <c r="R42" i="2"/>
  <c r="AT42" i="2"/>
  <c r="AQ42" i="2"/>
  <c r="AI42" i="2"/>
  <c r="X42" i="2"/>
  <c r="AS42" i="2"/>
  <c r="AP42" i="2"/>
  <c r="AR42" i="2"/>
  <c r="C41" i="2"/>
  <c r="G41" i="2"/>
  <c r="Q24" i="2"/>
  <c r="U24" i="2" s="1"/>
  <c r="AA41" i="2"/>
  <c r="M19" i="46" l="1"/>
  <c r="G42" i="46"/>
  <c r="E42" i="2"/>
  <c r="AJ23" i="2"/>
  <c r="T23" i="2"/>
  <c r="V23" i="2" s="1"/>
  <c r="L23" i="2"/>
  <c r="AG23" i="2" s="1"/>
  <c r="P25" i="2"/>
  <c r="J25" i="2"/>
  <c r="AA42" i="2"/>
  <c r="B44" i="2"/>
  <c r="F43" i="2"/>
  <c r="AU43" i="2"/>
  <c r="Y43" i="2"/>
  <c r="Z43" i="2" s="1"/>
  <c r="AT43" i="2"/>
  <c r="X43" i="2"/>
  <c r="D43" i="2"/>
  <c r="AN43" i="2" s="1"/>
  <c r="AS43" i="2"/>
  <c r="R43" i="2"/>
  <c r="AR43" i="2"/>
  <c r="AP43" i="2"/>
  <c r="I43" i="2"/>
  <c r="H43" i="2"/>
  <c r="AQ43" i="2"/>
  <c r="AI43" i="2"/>
  <c r="O43" i="2"/>
  <c r="AE43" i="2"/>
  <c r="G42" i="2"/>
  <c r="C42" i="2"/>
  <c r="O19" i="46" l="1"/>
  <c r="H20" i="46" s="1"/>
  <c r="K20" i="46" s="1"/>
  <c r="L20" i="46" s="1"/>
  <c r="N20" i="46" s="1"/>
  <c r="G43" i="46"/>
  <c r="AL23" i="2"/>
  <c r="Q21" i="46" s="1"/>
  <c r="I21" i="46" s="1"/>
  <c r="J21" i="46" s="1"/>
  <c r="AK23" i="2"/>
  <c r="AM23" i="2"/>
  <c r="E43" i="2"/>
  <c r="S24" i="2"/>
  <c r="AF24" i="2" s="1"/>
  <c r="K24" i="2"/>
  <c r="W23" i="2"/>
  <c r="AO23" i="2" s="1"/>
  <c r="B45" i="2"/>
  <c r="AE44" i="2"/>
  <c r="AU44" i="2"/>
  <c r="I44" i="2"/>
  <c r="AR44" i="2"/>
  <c r="AQ44" i="2"/>
  <c r="AP44" i="2"/>
  <c r="AI44" i="2"/>
  <c r="D44" i="2"/>
  <c r="AN44" i="2" s="1"/>
  <c r="Y44" i="2"/>
  <c r="Z44" i="2" s="1"/>
  <c r="X44" i="2"/>
  <c r="AT44" i="2"/>
  <c r="H44" i="2"/>
  <c r="O44" i="2"/>
  <c r="F44" i="2"/>
  <c r="R44" i="2"/>
  <c r="AS44" i="2"/>
  <c r="Q25" i="2"/>
  <c r="U25" i="2" s="1"/>
  <c r="C43" i="2"/>
  <c r="G43" i="2"/>
  <c r="AA43" i="2"/>
  <c r="M20" i="46" l="1"/>
  <c r="O20" i="46" s="1"/>
  <c r="G44" i="46"/>
  <c r="AA44" i="2"/>
  <c r="E44" i="2"/>
  <c r="T24" i="2"/>
  <c r="V24" i="2" s="1"/>
  <c r="L24" i="2"/>
  <c r="AG24" i="2" s="1"/>
  <c r="AM24" i="2" s="1"/>
  <c r="AJ24" i="2"/>
  <c r="AP45" i="2"/>
  <c r="R45" i="2"/>
  <c r="O45" i="2"/>
  <c r="AS45" i="2"/>
  <c r="AR45" i="2"/>
  <c r="AQ45" i="2"/>
  <c r="I45" i="2"/>
  <c r="H45" i="2"/>
  <c r="Y45" i="2"/>
  <c r="Z45" i="2" s="1"/>
  <c r="X45" i="2"/>
  <c r="F45" i="2"/>
  <c r="D45" i="2"/>
  <c r="B46" i="2"/>
  <c r="AE45" i="2"/>
  <c r="AU45" i="2"/>
  <c r="AT45" i="2"/>
  <c r="AI45" i="2"/>
  <c r="P26" i="2"/>
  <c r="J26" i="2"/>
  <c r="C44" i="2"/>
  <c r="G44" i="2"/>
  <c r="H21" i="46" l="1"/>
  <c r="K21" i="46" s="1"/>
  <c r="L21" i="46" s="1"/>
  <c r="G45" i="46"/>
  <c r="E45" i="2"/>
  <c r="AL24" i="2"/>
  <c r="Q22" i="46" s="1"/>
  <c r="I22" i="46" s="1"/>
  <c r="J22" i="46" s="1"/>
  <c r="AK24" i="2"/>
  <c r="S25" i="2"/>
  <c r="AF25" i="2" s="1"/>
  <c r="K25" i="2"/>
  <c r="W24" i="2"/>
  <c r="AO24" i="2" s="1"/>
  <c r="Q26" i="2"/>
  <c r="U26" i="2" s="1"/>
  <c r="B47" i="2"/>
  <c r="AE46" i="2"/>
  <c r="I46" i="2"/>
  <c r="O46" i="2"/>
  <c r="H46" i="2"/>
  <c r="F46" i="2"/>
  <c r="Y46" i="2"/>
  <c r="Z46" i="2" s="1"/>
  <c r="X46" i="2"/>
  <c r="R46" i="2"/>
  <c r="D46" i="2"/>
  <c r="AN46" i="2" s="1"/>
  <c r="G45" i="2"/>
  <c r="C45" i="2"/>
  <c r="AN45" i="2"/>
  <c r="AA45" i="2"/>
  <c r="N21" i="46" l="1"/>
  <c r="G46" i="46"/>
  <c r="AP46" i="2"/>
  <c r="AA46" i="2"/>
  <c r="T25" i="2"/>
  <c r="V25" i="2" s="1"/>
  <c r="L25" i="2"/>
  <c r="AG25" i="2" s="1"/>
  <c r="AJ25" i="2"/>
  <c r="AI47" i="2"/>
  <c r="I47" i="2"/>
  <c r="H47" i="2"/>
  <c r="AP47" i="2"/>
  <c r="F47" i="2"/>
  <c r="D47" i="2"/>
  <c r="AN47" i="2" s="1"/>
  <c r="AE47" i="2"/>
  <c r="B48" i="2"/>
  <c r="AU47" i="2"/>
  <c r="AT47" i="2"/>
  <c r="AS47" i="2"/>
  <c r="AR47" i="2"/>
  <c r="AQ47" i="2"/>
  <c r="Y47" i="2"/>
  <c r="Z47" i="2" s="1"/>
  <c r="R47" i="2"/>
  <c r="X47" i="2"/>
  <c r="O47" i="2"/>
  <c r="P27" i="2"/>
  <c r="J27" i="2"/>
  <c r="G46" i="2"/>
  <c r="AT46" i="2" s="1"/>
  <c r="C46" i="2"/>
  <c r="E46" i="2"/>
  <c r="E47" i="2" l="1"/>
  <c r="M21" i="46"/>
  <c r="G47" i="46"/>
  <c r="S26" i="2"/>
  <c r="AF26" i="2" s="1"/>
  <c r="AJ26" i="2" s="1"/>
  <c r="K26" i="2"/>
  <c r="W25" i="2"/>
  <c r="AL25" i="2"/>
  <c r="Q23" i="46" s="1"/>
  <c r="I23" i="46" s="1"/>
  <c r="J23" i="46" s="1"/>
  <c r="AK25" i="2"/>
  <c r="AM25" i="2"/>
  <c r="B49" i="2"/>
  <c r="AE48" i="2"/>
  <c r="AU48" i="2"/>
  <c r="I48" i="2"/>
  <c r="H48" i="2"/>
  <c r="AI48" i="2"/>
  <c r="F48" i="2"/>
  <c r="AT48" i="2"/>
  <c r="AS48" i="2"/>
  <c r="R48" i="2"/>
  <c r="AP48" i="2"/>
  <c r="Y48" i="2"/>
  <c r="Z48" i="2" s="1"/>
  <c r="O48" i="2"/>
  <c r="D48" i="2"/>
  <c r="AN48" i="2" s="1"/>
  <c r="AQ48" i="2"/>
  <c r="AR48" i="2"/>
  <c r="X48" i="2"/>
  <c r="C47" i="2"/>
  <c r="G47" i="2"/>
  <c r="AA47" i="2"/>
  <c r="Q27" i="2"/>
  <c r="U27" i="2" s="1"/>
  <c r="O21" i="46" l="1"/>
  <c r="H22" i="46" s="1"/>
  <c r="K22" i="46" s="1"/>
  <c r="L22" i="46" s="1"/>
  <c r="N22" i="46" s="1"/>
  <c r="G48" i="46"/>
  <c r="T26" i="2"/>
  <c r="V26" i="2" s="1"/>
  <c r="L26" i="2"/>
  <c r="AG26" i="2" s="1"/>
  <c r="AM26" i="2" s="1"/>
  <c r="AO25" i="2"/>
  <c r="G48" i="2"/>
  <c r="C48" i="2"/>
  <c r="E48" i="2"/>
  <c r="AI49" i="2"/>
  <c r="I49" i="2"/>
  <c r="H49" i="2"/>
  <c r="AE49" i="2"/>
  <c r="D49" i="2"/>
  <c r="AQ49" i="2"/>
  <c r="AP49" i="2"/>
  <c r="Y49" i="2"/>
  <c r="Z49" i="2" s="1"/>
  <c r="B50" i="2"/>
  <c r="O49" i="2"/>
  <c r="F49" i="2"/>
  <c r="AR49" i="2"/>
  <c r="AS49" i="2"/>
  <c r="AU49" i="2"/>
  <c r="AT49" i="2"/>
  <c r="X49" i="2"/>
  <c r="R49" i="2"/>
  <c r="AA48" i="2"/>
  <c r="P28" i="2"/>
  <c r="J28" i="2"/>
  <c r="M22" i="46" l="1"/>
  <c r="G49" i="46"/>
  <c r="AL26" i="2"/>
  <c r="Q24" i="46" s="1"/>
  <c r="I24" i="46" s="1"/>
  <c r="J24" i="46" s="1"/>
  <c r="AK26" i="2"/>
  <c r="S27" i="2"/>
  <c r="AF27" i="2" s="1"/>
  <c r="K27" i="2"/>
  <c r="W26" i="2"/>
  <c r="AO26" i="2" s="1"/>
  <c r="C49" i="2"/>
  <c r="G49" i="2"/>
  <c r="AA49" i="2"/>
  <c r="Q28" i="2"/>
  <c r="U28" i="2" s="1"/>
  <c r="E49" i="2"/>
  <c r="B51" i="2"/>
  <c r="AE50" i="2"/>
  <c r="AU50" i="2"/>
  <c r="I50" i="2"/>
  <c r="H50" i="2"/>
  <c r="AI50" i="2"/>
  <c r="F50" i="2"/>
  <c r="AT50" i="2"/>
  <c r="AS50" i="2"/>
  <c r="R50" i="2"/>
  <c r="AR50" i="2"/>
  <c r="Y50" i="2"/>
  <c r="Z50" i="2" s="1"/>
  <c r="X50" i="2"/>
  <c r="AP50" i="2"/>
  <c r="D50" i="2"/>
  <c r="O50" i="2"/>
  <c r="AQ50" i="2"/>
  <c r="AN49" i="2"/>
  <c r="O22" i="46" l="1"/>
  <c r="H23" i="46" s="1"/>
  <c r="K23" i="46" s="1"/>
  <c r="L23" i="46" s="1"/>
  <c r="N23" i="46" s="1"/>
  <c r="G50" i="46"/>
  <c r="AA50" i="2"/>
  <c r="AJ27" i="2"/>
  <c r="E50" i="2"/>
  <c r="T27" i="2"/>
  <c r="V27" i="2" s="1"/>
  <c r="L27" i="2"/>
  <c r="AG27" i="2" s="1"/>
  <c r="G50" i="2"/>
  <c r="C50" i="2"/>
  <c r="P29" i="2"/>
  <c r="J29" i="2"/>
  <c r="I51" i="2"/>
  <c r="H51" i="2"/>
  <c r="AE51" i="2"/>
  <c r="F51" i="2"/>
  <c r="AP51" i="2"/>
  <c r="D51" i="2"/>
  <c r="X51" i="2"/>
  <c r="R51" i="2"/>
  <c r="O51" i="2"/>
  <c r="AS51" i="2"/>
  <c r="B52" i="2"/>
  <c r="AU51" i="2"/>
  <c r="AT51" i="2"/>
  <c r="AI51" i="2"/>
  <c r="AR51" i="2"/>
  <c r="AQ51" i="2"/>
  <c r="Y51" i="2"/>
  <c r="Z51" i="2" s="1"/>
  <c r="AN50" i="2"/>
  <c r="M23" i="46" l="1"/>
  <c r="G51" i="46"/>
  <c r="E51" i="2"/>
  <c r="AK27" i="2"/>
  <c r="AL27" i="2"/>
  <c r="Q25" i="46" s="1"/>
  <c r="I25" i="46" s="1"/>
  <c r="J25" i="46" s="1"/>
  <c r="AM27" i="2"/>
  <c r="S28" i="2"/>
  <c r="AF28" i="2" s="1"/>
  <c r="K28" i="2"/>
  <c r="W27" i="2"/>
  <c r="AN51" i="2"/>
  <c r="B53" i="2"/>
  <c r="AE52" i="2"/>
  <c r="AU52" i="2"/>
  <c r="I52" i="2"/>
  <c r="AI52" i="2"/>
  <c r="F52" i="2"/>
  <c r="Y52" i="2"/>
  <c r="Z52" i="2" s="1"/>
  <c r="D52" i="2"/>
  <c r="X52" i="2"/>
  <c r="R52" i="2"/>
  <c r="AT52" i="2"/>
  <c r="H52" i="2"/>
  <c r="AS52" i="2"/>
  <c r="AP52" i="2"/>
  <c r="O52" i="2"/>
  <c r="AR52" i="2"/>
  <c r="AQ52" i="2"/>
  <c r="AA51" i="2"/>
  <c r="C51" i="2"/>
  <c r="G51" i="2"/>
  <c r="Q29" i="2"/>
  <c r="U29" i="2" s="1"/>
  <c r="AO27" i="2" l="1"/>
  <c r="E52" i="2"/>
  <c r="O23" i="46"/>
  <c r="H24" i="46" s="1"/>
  <c r="K24" i="46" s="1"/>
  <c r="L24" i="46" s="1"/>
  <c r="N24" i="46" s="1"/>
  <c r="G52" i="46"/>
  <c r="AN52" i="2"/>
  <c r="AJ28" i="2"/>
  <c r="T28" i="2"/>
  <c r="V28" i="2" s="1"/>
  <c r="L28" i="2"/>
  <c r="AG28" i="2" s="1"/>
  <c r="H53" i="2"/>
  <c r="AE53" i="2"/>
  <c r="F53" i="2"/>
  <c r="B54" i="2"/>
  <c r="Y53" i="2"/>
  <c r="Z53" i="2" s="1"/>
  <c r="D53" i="2"/>
  <c r="AN53" i="2" s="1"/>
  <c r="AS53" i="2"/>
  <c r="AR53" i="2"/>
  <c r="AQ53" i="2"/>
  <c r="AP53" i="2"/>
  <c r="I53" i="2"/>
  <c r="R53" i="2"/>
  <c r="AI53" i="2"/>
  <c r="X53" i="2"/>
  <c r="AU53" i="2"/>
  <c r="AT53" i="2"/>
  <c r="O53" i="2"/>
  <c r="P30" i="2"/>
  <c r="J30" i="2"/>
  <c r="AA52" i="2"/>
  <c r="G52" i="2"/>
  <c r="C52" i="2"/>
  <c r="M24" i="46" l="1"/>
  <c r="O24" i="46" s="1"/>
  <c r="G53" i="46"/>
  <c r="AL28" i="2"/>
  <c r="Q26" i="46" s="1"/>
  <c r="I26" i="46" s="1"/>
  <c r="J26" i="46" s="1"/>
  <c r="AK28" i="2"/>
  <c r="AM28" i="2"/>
  <c r="S29" i="2"/>
  <c r="AF29" i="2" s="1"/>
  <c r="K29" i="2"/>
  <c r="W28" i="2"/>
  <c r="B55" i="2"/>
  <c r="AE54" i="2"/>
  <c r="AU54" i="2"/>
  <c r="I54" i="2"/>
  <c r="F54" i="2"/>
  <c r="Y54" i="2"/>
  <c r="Z54" i="2" s="1"/>
  <c r="D54" i="2"/>
  <c r="AN54" i="2" s="1"/>
  <c r="X54" i="2"/>
  <c r="AT54" i="2"/>
  <c r="AI54" i="2"/>
  <c r="R54" i="2"/>
  <c r="AS54" i="2"/>
  <c r="H54" i="2"/>
  <c r="AR54" i="2"/>
  <c r="AQ54" i="2"/>
  <c r="AP54" i="2"/>
  <c r="O54" i="2"/>
  <c r="Q30" i="2"/>
  <c r="U30" i="2" s="1"/>
  <c r="C53" i="2"/>
  <c r="G53" i="2"/>
  <c r="E53" i="2"/>
  <c r="AA53" i="2"/>
  <c r="AO28" i="2" l="1"/>
  <c r="E54" i="2"/>
  <c r="H25" i="46"/>
  <c r="K25" i="46" s="1"/>
  <c r="L25" i="46" s="1"/>
  <c r="G54" i="46"/>
  <c r="T29" i="2"/>
  <c r="V29" i="2" s="1"/>
  <c r="L29" i="2"/>
  <c r="AG29" i="2" s="1"/>
  <c r="AM29" i="2" s="1"/>
  <c r="AJ29" i="2"/>
  <c r="C54" i="2"/>
  <c r="G54" i="2"/>
  <c r="AE55" i="2"/>
  <c r="F55" i="2"/>
  <c r="B56" i="2"/>
  <c r="Y55" i="2"/>
  <c r="Z55" i="2" s="1"/>
  <c r="D55" i="2"/>
  <c r="AU55" i="2"/>
  <c r="X55" i="2"/>
  <c r="AT55" i="2"/>
  <c r="O55" i="2"/>
  <c r="AS55" i="2"/>
  <c r="R55" i="2"/>
  <c r="AR55" i="2"/>
  <c r="I55" i="2"/>
  <c r="H55" i="2"/>
  <c r="AQ55" i="2"/>
  <c r="AP55" i="2"/>
  <c r="AI55" i="2"/>
  <c r="P31" i="2"/>
  <c r="J31" i="2"/>
  <c r="AA54" i="2"/>
  <c r="N25" i="46" l="1"/>
  <c r="AA55" i="2"/>
  <c r="AL29" i="2"/>
  <c r="Q27" i="46" s="1"/>
  <c r="I27" i="46" s="1"/>
  <c r="J27" i="46" s="1"/>
  <c r="AK29" i="2"/>
  <c r="S30" i="2"/>
  <c r="AF30" i="2" s="1"/>
  <c r="K30" i="2"/>
  <c r="W29" i="2"/>
  <c r="AO29" i="2" s="1"/>
  <c r="C55" i="2"/>
  <c r="G55" i="2"/>
  <c r="AE56" i="2"/>
  <c r="I56" i="2"/>
  <c r="Y56" i="2"/>
  <c r="Z56" i="2" s="1"/>
  <c r="D56" i="2"/>
  <c r="X56" i="2"/>
  <c r="F56" i="2"/>
  <c r="R56" i="2"/>
  <c r="O56" i="2"/>
  <c r="H56" i="2"/>
  <c r="F22" i="44"/>
  <c r="F10" i="44"/>
  <c r="I11" i="30"/>
  <c r="F8" i="30"/>
  <c r="C6" i="44"/>
  <c r="L7" i="30"/>
  <c r="E55" i="2"/>
  <c r="AN55" i="2"/>
  <c r="Q31" i="2"/>
  <c r="U31" i="2" s="1"/>
  <c r="M25" i="46" l="1"/>
  <c r="E56" i="2"/>
  <c r="T30" i="2"/>
  <c r="L30" i="2"/>
  <c r="AG30" i="2" s="1"/>
  <c r="AJ30" i="2"/>
  <c r="L12" i="30"/>
  <c r="I10" i="30"/>
  <c r="M5" i="44"/>
  <c r="C56" i="2"/>
  <c r="G56" i="2"/>
  <c r="AN56" i="2"/>
  <c r="AP56" i="2"/>
  <c r="H23" i="1" s="1"/>
  <c r="P32" i="2"/>
  <c r="J32" i="2"/>
  <c r="AA56" i="2"/>
  <c r="O25" i="46" l="1"/>
  <c r="H26" i="46" s="1"/>
  <c r="K26" i="46" s="1"/>
  <c r="L26" i="46" s="1"/>
  <c r="N26" i="46" s="1"/>
  <c r="AK30" i="2"/>
  <c r="AL30" i="2"/>
  <c r="Q28" i="46" s="1"/>
  <c r="I28" i="46" s="1"/>
  <c r="J28" i="46" s="1"/>
  <c r="AM30" i="2"/>
  <c r="V30" i="2"/>
  <c r="Q32" i="2"/>
  <c r="U32" i="2" s="1"/>
  <c r="AT56" i="2"/>
  <c r="K24" i="1" s="1"/>
  <c r="M26" i="46" l="1"/>
  <c r="S31" i="2"/>
  <c r="AF31" i="2" s="1"/>
  <c r="AJ31" i="2" s="1"/>
  <c r="K31" i="2"/>
  <c r="W30" i="2"/>
  <c r="P33" i="2"/>
  <c r="J33" i="2"/>
  <c r="O26" i="46" l="1"/>
  <c r="H27" i="46" s="1"/>
  <c r="K27" i="46" s="1"/>
  <c r="L27" i="46" s="1"/>
  <c r="N27" i="46" s="1"/>
  <c r="AO30" i="2"/>
  <c r="T31" i="2"/>
  <c r="V31" i="2" s="1"/>
  <c r="L31" i="2"/>
  <c r="AG31" i="2" s="1"/>
  <c r="Q33" i="2"/>
  <c r="U33" i="2" s="1"/>
  <c r="M27" i="46" l="1"/>
  <c r="AK31" i="2"/>
  <c r="AL31" i="2"/>
  <c r="Q29" i="46" s="1"/>
  <c r="I29" i="46" s="1"/>
  <c r="J29" i="46" s="1"/>
  <c r="AM31" i="2"/>
  <c r="K32" i="2"/>
  <c r="S32" i="2"/>
  <c r="AF32" i="2" s="1"/>
  <c r="W31" i="2"/>
  <c r="AO31" i="2" s="1"/>
  <c r="P34" i="2"/>
  <c r="J34" i="2"/>
  <c r="O27" i="46" l="1"/>
  <c r="H28" i="46" s="1"/>
  <c r="K28" i="46" s="1"/>
  <c r="L28" i="46" s="1"/>
  <c r="N28" i="46" s="1"/>
  <c r="AJ32" i="2"/>
  <c r="T32" i="2"/>
  <c r="V32" i="2" s="1"/>
  <c r="L32" i="2"/>
  <c r="AG32" i="2" s="1"/>
  <c r="Q34" i="2"/>
  <c r="U34" i="2" s="1"/>
  <c r="M28" i="46" l="1"/>
  <c r="AL32" i="2"/>
  <c r="Q30" i="46" s="1"/>
  <c r="I30" i="46" s="1"/>
  <c r="J30" i="46" s="1"/>
  <c r="AK32" i="2"/>
  <c r="AM32" i="2"/>
  <c r="S33" i="2"/>
  <c r="AF33" i="2" s="1"/>
  <c r="AJ33" i="2" s="1"/>
  <c r="K33" i="2"/>
  <c r="W32" i="2"/>
  <c r="P35" i="2"/>
  <c r="J35" i="2"/>
  <c r="O28" i="46" l="1"/>
  <c r="H29" i="46" s="1"/>
  <c r="K29" i="46" s="1"/>
  <c r="L29" i="46" s="1"/>
  <c r="N29" i="46" s="1"/>
  <c r="AO32" i="2"/>
  <c r="T33" i="2"/>
  <c r="V33" i="2" s="1"/>
  <c r="L33" i="2"/>
  <c r="AG33" i="2" s="1"/>
  <c r="AM33" i="2" s="1"/>
  <c r="Q35" i="2"/>
  <c r="U35" i="2" s="1"/>
  <c r="M29" i="46" l="1"/>
  <c r="AK33" i="2"/>
  <c r="AL33" i="2"/>
  <c r="Q31" i="46" s="1"/>
  <c r="I31" i="46" s="1"/>
  <c r="J31" i="46" s="1"/>
  <c r="S34" i="2"/>
  <c r="AF34" i="2" s="1"/>
  <c r="K34" i="2"/>
  <c r="W33" i="2"/>
  <c r="AO33" i="2" s="1"/>
  <c r="P36" i="2"/>
  <c r="J36" i="2"/>
  <c r="O29" i="46" l="1"/>
  <c r="H30" i="46" s="1"/>
  <c r="K30" i="46" s="1"/>
  <c r="L30" i="46" s="1"/>
  <c r="N30" i="46" s="1"/>
  <c r="T34" i="2"/>
  <c r="V34" i="2" s="1"/>
  <c r="L34" i="2"/>
  <c r="AG34" i="2" s="1"/>
  <c r="AJ34" i="2"/>
  <c r="Q36" i="2"/>
  <c r="M30" i="46" l="1"/>
  <c r="O30" i="46" s="1"/>
  <c r="H31" i="46" s="1"/>
  <c r="K31" i="46" s="1"/>
  <c r="L31" i="46" s="1"/>
  <c r="AL34" i="2"/>
  <c r="Q32" i="46" s="1"/>
  <c r="I32" i="46" s="1"/>
  <c r="J32" i="46" s="1"/>
  <c r="AK34" i="2"/>
  <c r="AM34" i="2"/>
  <c r="S35" i="2"/>
  <c r="AF35" i="2" s="1"/>
  <c r="K35" i="2"/>
  <c r="W34" i="2"/>
  <c r="U36" i="2"/>
  <c r="N31" i="46" l="1"/>
  <c r="AO34" i="2"/>
  <c r="AJ35" i="2"/>
  <c r="T35" i="2"/>
  <c r="V35" i="2" s="1"/>
  <c r="L35" i="2"/>
  <c r="AG35" i="2" s="1"/>
  <c r="P37" i="2"/>
  <c r="J37" i="2"/>
  <c r="M31" i="46" l="1"/>
  <c r="O31" i="46" s="1"/>
  <c r="H32" i="46" s="1"/>
  <c r="K32" i="46" s="1"/>
  <c r="L32" i="46" s="1"/>
  <c r="AL35" i="2"/>
  <c r="Q33" i="46" s="1"/>
  <c r="I33" i="46" s="1"/>
  <c r="J33" i="46" s="1"/>
  <c r="AK35" i="2"/>
  <c r="AM35" i="2"/>
  <c r="S36" i="2"/>
  <c r="K36" i="2"/>
  <c r="W35" i="2"/>
  <c r="Q37" i="2"/>
  <c r="U37" i="2" s="1"/>
  <c r="AO35" i="2" l="1"/>
  <c r="N32" i="46"/>
  <c r="T36" i="2"/>
  <c r="L36" i="2"/>
  <c r="AF36" i="2"/>
  <c r="P38" i="2"/>
  <c r="J38" i="2"/>
  <c r="M32" i="46" l="1"/>
  <c r="O32" i="46" s="1"/>
  <c r="H33" i="46" s="1"/>
  <c r="K33" i="46" s="1"/>
  <c r="L33" i="46" s="1"/>
  <c r="AJ36" i="2"/>
  <c r="AG36" i="2"/>
  <c r="V36" i="2"/>
  <c r="Q38" i="2"/>
  <c r="U38" i="2" s="1"/>
  <c r="N33" i="46" l="1"/>
  <c r="S37" i="2"/>
  <c r="AF37" i="2" s="1"/>
  <c r="K37" i="2"/>
  <c r="W36" i="2"/>
  <c r="AK36" i="2"/>
  <c r="AL36" i="2"/>
  <c r="Q34" i="46" s="1"/>
  <c r="I34" i="46" s="1"/>
  <c r="J34" i="46" s="1"/>
  <c r="AM36" i="2"/>
  <c r="P39" i="2"/>
  <c r="L5" i="30" s="1" a="1"/>
  <c r="L5" i="30" s="1"/>
  <c r="J39" i="2"/>
  <c r="M33" i="46" l="1"/>
  <c r="O33" i="46" s="1"/>
  <c r="T37" i="2"/>
  <c r="V37" i="2" s="1"/>
  <c r="L37" i="2"/>
  <c r="AG37" i="2" s="1"/>
  <c r="AO36" i="2"/>
  <c r="AJ37" i="2"/>
  <c r="Q39" i="2"/>
  <c r="U39" i="2" l="1"/>
  <c r="J40" i="2" s="1"/>
  <c r="L6" i="30" a="1"/>
  <c r="L6" i="30" s="1"/>
  <c r="L8" i="30" s="1"/>
  <c r="L14" i="30" s="1"/>
  <c r="H34" i="46"/>
  <c r="K34" i="46" s="1"/>
  <c r="L34" i="46" s="1"/>
  <c r="N34" i="46" s="1"/>
  <c r="AL37" i="2"/>
  <c r="Q35" i="46" s="1"/>
  <c r="I35" i="46" s="1"/>
  <c r="J35" i="46" s="1"/>
  <c r="AK37" i="2"/>
  <c r="AM37" i="2"/>
  <c r="S38" i="2"/>
  <c r="AF38" i="2" s="1"/>
  <c r="K38" i="2"/>
  <c r="W37" i="2"/>
  <c r="P40" i="2" l="1"/>
  <c r="Q40" i="2" s="1"/>
  <c r="U40" i="2" s="1"/>
  <c r="AO37" i="2"/>
  <c r="M34" i="46"/>
  <c r="O34" i="46" s="1"/>
  <c r="H35" i="46" s="1"/>
  <c r="K35" i="46" s="1"/>
  <c r="L35" i="46" s="1"/>
  <c r="T38" i="2"/>
  <c r="V38" i="2" s="1"/>
  <c r="L38" i="2"/>
  <c r="AG38" i="2" s="1"/>
  <c r="AJ38" i="2"/>
  <c r="N35" i="46" l="1"/>
  <c r="AM38" i="2"/>
  <c r="AL38" i="2"/>
  <c r="Q36" i="46" s="1"/>
  <c r="I36" i="46" s="1"/>
  <c r="J36" i="46" s="1"/>
  <c r="AK38" i="2"/>
  <c r="S39" i="2"/>
  <c r="AF39" i="2" s="1"/>
  <c r="K39" i="2"/>
  <c r="W38" i="2"/>
  <c r="P41" i="2"/>
  <c r="J41" i="2"/>
  <c r="AJ39" i="2" l="1"/>
  <c r="L4" i="30"/>
  <c r="M35" i="46"/>
  <c r="O35" i="46" s="1"/>
  <c r="H36" i="46" s="1"/>
  <c r="K36" i="46" s="1"/>
  <c r="L36" i="46" s="1"/>
  <c r="AO38" i="2"/>
  <c r="T39" i="2"/>
  <c r="V39" i="2" s="1"/>
  <c r="L39" i="2"/>
  <c r="AG39" i="2" s="1"/>
  <c r="AM39" i="2" s="1"/>
  <c r="E19" i="30" s="1"/>
  <c r="Q41" i="2"/>
  <c r="U41" i="2" s="1"/>
  <c r="M4" i="30" l="1"/>
  <c r="K13" i="30" s="1"/>
  <c r="L13" i="30"/>
  <c r="L9" i="30"/>
  <c r="L16" i="30" s="1"/>
  <c r="D19" i="30"/>
  <c r="L24" i="30"/>
  <c r="N36" i="46"/>
  <c r="AL39" i="2"/>
  <c r="AK39" i="2"/>
  <c r="K40" i="2"/>
  <c r="S40" i="2"/>
  <c r="AF40" i="2" s="1"/>
  <c r="W39" i="2"/>
  <c r="P42" i="2"/>
  <c r="J42" i="2"/>
  <c r="AO39" i="2" l="1"/>
  <c r="F28" i="30"/>
  <c r="F18" i="30" s="1"/>
  <c r="M24" i="30" s="1"/>
  <c r="Q37" i="46"/>
  <c r="I37" i="46" s="1"/>
  <c r="J37" i="46" s="1"/>
  <c r="I15" i="30"/>
  <c r="L15" i="30"/>
  <c r="K16" i="30"/>
  <c r="K15" i="30" s="1"/>
  <c r="M36" i="46"/>
  <c r="O36" i="46" s="1"/>
  <c r="AJ40" i="2"/>
  <c r="T40" i="2"/>
  <c r="V40" i="2" s="1"/>
  <c r="L40" i="2"/>
  <c r="AG40" i="2" s="1"/>
  <c r="Q42" i="2"/>
  <c r="U42" i="2" s="1"/>
  <c r="L26" i="30" l="1"/>
  <c r="I14" i="30"/>
  <c r="H15" i="30"/>
  <c r="H37" i="46"/>
  <c r="K37" i="46" s="1"/>
  <c r="L37" i="46" s="1"/>
  <c r="AL40" i="2"/>
  <c r="Q38" i="46" s="1"/>
  <c r="I38" i="46" s="1"/>
  <c r="J38" i="46" s="1"/>
  <c r="AK40" i="2"/>
  <c r="AM40" i="2"/>
  <c r="K41" i="2"/>
  <c r="S41" i="2"/>
  <c r="AF41" i="2" s="1"/>
  <c r="W40" i="2"/>
  <c r="P43" i="2"/>
  <c r="J43" i="2"/>
  <c r="L27" i="30" l="1"/>
  <c r="L28" i="30" s="1"/>
  <c r="L30" i="30" s="1"/>
  <c r="B35" i="30"/>
  <c r="AO40" i="2"/>
  <c r="N37" i="46"/>
  <c r="AJ41" i="2"/>
  <c r="T41" i="2"/>
  <c r="V41" i="2" s="1"/>
  <c r="L41" i="2"/>
  <c r="AG41" i="2" s="1"/>
  <c r="Q43" i="2"/>
  <c r="U43" i="2" s="1"/>
  <c r="L31" i="30" l="1"/>
  <c r="I16" i="30" s="1"/>
  <c r="L32" i="30"/>
  <c r="H16" i="30" s="1"/>
  <c r="M37" i="46"/>
  <c r="O37" i="46" s="1"/>
  <c r="H38" i="46" s="1"/>
  <c r="K38" i="46" s="1"/>
  <c r="L38" i="46" s="1"/>
  <c r="AL41" i="2"/>
  <c r="Q39" i="46" s="1"/>
  <c r="I39" i="46" s="1"/>
  <c r="J39" i="46" s="1"/>
  <c r="AK41" i="2"/>
  <c r="AM41" i="2"/>
  <c r="K42" i="2"/>
  <c r="S42" i="2"/>
  <c r="AF42" i="2" s="1"/>
  <c r="AJ42" i="2" s="1"/>
  <c r="W41" i="2"/>
  <c r="P44" i="2"/>
  <c r="J44" i="2"/>
  <c r="AO41" i="2" l="1"/>
  <c r="N38" i="46"/>
  <c r="T42" i="2"/>
  <c r="V42" i="2" s="1"/>
  <c r="L42" i="2"/>
  <c r="AG42" i="2" s="1"/>
  <c r="AM42" i="2" s="1"/>
  <c r="Q44" i="2"/>
  <c r="U44" i="2" s="1"/>
  <c r="M38" i="46" l="1"/>
  <c r="O38" i="46" s="1"/>
  <c r="AL42" i="2"/>
  <c r="Q40" i="46" s="1"/>
  <c r="I40" i="46" s="1"/>
  <c r="J40" i="46" s="1"/>
  <c r="AK42" i="2"/>
  <c r="S43" i="2"/>
  <c r="AF43" i="2" s="1"/>
  <c r="K43" i="2"/>
  <c r="W42" i="2"/>
  <c r="AO42" i="2" s="1"/>
  <c r="P45" i="2"/>
  <c r="J45" i="2"/>
  <c r="H39" i="46" l="1"/>
  <c r="K39" i="46" s="1"/>
  <c r="L39" i="46" s="1"/>
  <c r="T43" i="2"/>
  <c r="V43" i="2" s="1"/>
  <c r="L43" i="2"/>
  <c r="AG43" i="2" s="1"/>
  <c r="AJ43" i="2"/>
  <c r="Q45" i="2"/>
  <c r="U45" i="2" s="1"/>
  <c r="N39" i="46" l="1"/>
  <c r="AL43" i="2"/>
  <c r="Q41" i="46" s="1"/>
  <c r="I41" i="46" s="1"/>
  <c r="J41" i="46" s="1"/>
  <c r="AK43" i="2"/>
  <c r="AM43" i="2"/>
  <c r="K44" i="2"/>
  <c r="S44" i="2"/>
  <c r="AF44" i="2" s="1"/>
  <c r="W43" i="2"/>
  <c r="P46" i="2"/>
  <c r="J46" i="2"/>
  <c r="AO43" i="2" l="1"/>
  <c r="M39" i="46"/>
  <c r="AJ44" i="2"/>
  <c r="T44" i="2"/>
  <c r="V44" i="2" s="1"/>
  <c r="L44" i="2"/>
  <c r="AG44" i="2" s="1"/>
  <c r="Q46" i="2"/>
  <c r="O39" i="46" l="1"/>
  <c r="H40" i="46" s="1"/>
  <c r="K40" i="46" s="1"/>
  <c r="L40" i="46" s="1"/>
  <c r="N40" i="46" s="1"/>
  <c r="U46" i="2"/>
  <c r="AI46" i="2" s="1"/>
  <c r="AL44" i="2"/>
  <c r="Q42" i="46" s="1"/>
  <c r="I42" i="46" s="1"/>
  <c r="J42" i="46" s="1"/>
  <c r="AK44" i="2"/>
  <c r="AM44" i="2"/>
  <c r="S45" i="2"/>
  <c r="AF45" i="2" s="1"/>
  <c r="AJ45" i="2" s="1"/>
  <c r="K45" i="2"/>
  <c r="W44" i="2"/>
  <c r="P47" i="2"/>
  <c r="J47" i="2"/>
  <c r="AO44" i="2" l="1"/>
  <c r="M40" i="46"/>
  <c r="O40" i="46" s="1"/>
  <c r="T45" i="2"/>
  <c r="V45" i="2" s="1"/>
  <c r="L45" i="2"/>
  <c r="AG45" i="2" s="1"/>
  <c r="AM45" i="2" s="1"/>
  <c r="Q47" i="2"/>
  <c r="U47" i="2" s="1"/>
  <c r="H41" i="46" l="1"/>
  <c r="K41" i="46" s="1"/>
  <c r="L41" i="46" s="1"/>
  <c r="AL45" i="2"/>
  <c r="Q43" i="46" s="1"/>
  <c r="I43" i="46" s="1"/>
  <c r="J43" i="46" s="1"/>
  <c r="AK45" i="2"/>
  <c r="K46" i="2"/>
  <c r="S46" i="2"/>
  <c r="W45" i="2"/>
  <c r="AO45" i="2" s="1"/>
  <c r="P48" i="2"/>
  <c r="J48" i="2"/>
  <c r="N41" i="46" l="1"/>
  <c r="AF46" i="2"/>
  <c r="C8" i="44" s="1"/>
  <c r="F6" i="44" a="1"/>
  <c r="F6" i="44" s="1"/>
  <c r="T46" i="2"/>
  <c r="L46" i="2"/>
  <c r="Q48" i="2"/>
  <c r="U48" i="2" s="1"/>
  <c r="M41" i="46" l="1"/>
  <c r="O41" i="46" s="1"/>
  <c r="AJ46" i="2"/>
  <c r="V46" i="2"/>
  <c r="K47" i="2" s="1"/>
  <c r="F8" i="44" a="1"/>
  <c r="F8" i="44" s="1"/>
  <c r="F12" i="44" s="1"/>
  <c r="C12" i="44"/>
  <c r="B8" i="44"/>
  <c r="L6" i="44" s="1"/>
  <c r="M6" i="44"/>
  <c r="AG46" i="2"/>
  <c r="AL46" i="2" s="1"/>
  <c r="Q44" i="46" s="1"/>
  <c r="I44" i="46" s="1"/>
  <c r="J44" i="46" s="1"/>
  <c r="AU46" i="2"/>
  <c r="P49" i="2"/>
  <c r="J49" i="2"/>
  <c r="S47" i="2" l="1"/>
  <c r="AF47" i="2" s="1"/>
  <c r="W46" i="2"/>
  <c r="F24" i="44" s="1"/>
  <c r="F26" i="44" s="1"/>
  <c r="M24" i="44" s="1"/>
  <c r="H42" i="46"/>
  <c r="K42" i="46" s="1"/>
  <c r="L42" i="46" s="1"/>
  <c r="AK46" i="2"/>
  <c r="AM46" i="2"/>
  <c r="AO46" i="2" s="1"/>
  <c r="AR46" i="2" s="1"/>
  <c r="AQ46" i="2"/>
  <c r="F30" i="44" a="1"/>
  <c r="F30" i="44" s="1"/>
  <c r="M4" i="44"/>
  <c r="M7" i="44"/>
  <c r="F15" i="44"/>
  <c r="AS46" i="2"/>
  <c r="AJ47" i="2"/>
  <c r="T47" i="2"/>
  <c r="V47" i="2" s="1"/>
  <c r="L47" i="2"/>
  <c r="AG47" i="2" s="1"/>
  <c r="Q49" i="2"/>
  <c r="U49" i="2" s="1"/>
  <c r="N42" i="46" l="1"/>
  <c r="M8" i="44"/>
  <c r="B15" i="44"/>
  <c r="L8" i="44" s="1"/>
  <c r="B30" i="44"/>
  <c r="L24" i="44"/>
  <c r="F32" i="44"/>
  <c r="AL47" i="2"/>
  <c r="Q45" i="46" s="1"/>
  <c r="I45" i="46" s="1"/>
  <c r="J45" i="46" s="1"/>
  <c r="AK47" i="2"/>
  <c r="AM47" i="2"/>
  <c r="K48" i="2"/>
  <c r="S48" i="2"/>
  <c r="AF48" i="2" s="1"/>
  <c r="W47" i="2"/>
  <c r="P50" i="2"/>
  <c r="J50" i="2"/>
  <c r="M42" i="46" l="1"/>
  <c r="O42" i="46" s="1"/>
  <c r="L26" i="44"/>
  <c r="L27" i="44" s="1"/>
  <c r="L28" i="44" s="1"/>
  <c r="L30" i="44" s="1"/>
  <c r="L33" i="44" s="1"/>
  <c r="B39" i="44" s="1"/>
  <c r="AO47" i="2"/>
  <c r="AJ48" i="2"/>
  <c r="T48" i="2"/>
  <c r="V48" i="2" s="1"/>
  <c r="L48" i="2"/>
  <c r="AG48" i="2" s="1"/>
  <c r="Q50" i="2"/>
  <c r="U50" i="2" s="1"/>
  <c r="H43" i="46" l="1"/>
  <c r="K43" i="46" s="1"/>
  <c r="L43" i="46" s="1"/>
  <c r="L31" i="44"/>
  <c r="F34" i="44" s="1"/>
  <c r="L32" i="44"/>
  <c r="B34" i="44" s="1"/>
  <c r="AM48" i="2"/>
  <c r="AL48" i="2"/>
  <c r="Q46" i="46" s="1"/>
  <c r="I46" i="46" s="1"/>
  <c r="J46" i="46" s="1"/>
  <c r="AK48" i="2"/>
  <c r="S49" i="2"/>
  <c r="AF49" i="2" s="1"/>
  <c r="K49" i="2"/>
  <c r="W48" i="2"/>
  <c r="P51" i="2"/>
  <c r="J51" i="2"/>
  <c r="N43" i="46" l="1"/>
  <c r="AO48" i="2"/>
  <c r="T49" i="2"/>
  <c r="V49" i="2" s="1"/>
  <c r="L49" i="2"/>
  <c r="AG49" i="2" s="1"/>
  <c r="AJ49" i="2"/>
  <c r="Q51" i="2"/>
  <c r="U51" i="2" s="1"/>
  <c r="M43" i="46" l="1"/>
  <c r="O43" i="46" s="1"/>
  <c r="AK49" i="2"/>
  <c r="AL49" i="2"/>
  <c r="Q47" i="46" s="1"/>
  <c r="I47" i="46" s="1"/>
  <c r="J47" i="46" s="1"/>
  <c r="AM49" i="2"/>
  <c r="K50" i="2"/>
  <c r="S50" i="2"/>
  <c r="AF50" i="2" s="1"/>
  <c r="AJ50" i="2" s="1"/>
  <c r="W49" i="2"/>
  <c r="P52" i="2"/>
  <c r="J52" i="2"/>
  <c r="AO49" i="2" l="1"/>
  <c r="H44" i="46"/>
  <c r="K44" i="46" s="1"/>
  <c r="L44" i="46" s="1"/>
  <c r="T50" i="2"/>
  <c r="V50" i="2" s="1"/>
  <c r="L50" i="2"/>
  <c r="AG50" i="2" s="1"/>
  <c r="AM50" i="2" s="1"/>
  <c r="Q52" i="2"/>
  <c r="U52" i="2" s="1"/>
  <c r="M44" i="46" l="1"/>
  <c r="AL50" i="2"/>
  <c r="Q48" i="46" s="1"/>
  <c r="I48" i="46" s="1"/>
  <c r="J48" i="46" s="1"/>
  <c r="AK50" i="2"/>
  <c r="S51" i="2"/>
  <c r="AF51" i="2" s="1"/>
  <c r="AJ51" i="2" s="1"/>
  <c r="K51" i="2"/>
  <c r="W50" i="2"/>
  <c r="AO50" i="2" s="1"/>
  <c r="P53" i="2"/>
  <c r="J53" i="2"/>
  <c r="N44" i="46" l="1"/>
  <c r="O44" i="46" s="1"/>
  <c r="T51" i="2"/>
  <c r="V51" i="2" s="1"/>
  <c r="L51" i="2"/>
  <c r="AG51" i="2" s="1"/>
  <c r="Q53" i="2"/>
  <c r="U53" i="2" s="1"/>
  <c r="H45" i="46" l="1"/>
  <c r="K45" i="46" s="1"/>
  <c r="L45" i="46" s="1"/>
  <c r="AL51" i="2"/>
  <c r="Q49" i="46" s="1"/>
  <c r="I49" i="46" s="1"/>
  <c r="J49" i="46" s="1"/>
  <c r="AK51" i="2"/>
  <c r="AM51" i="2"/>
  <c r="S52" i="2"/>
  <c r="AF52" i="2" s="1"/>
  <c r="AJ52" i="2" s="1"/>
  <c r="K52" i="2"/>
  <c r="W51" i="2"/>
  <c r="P54" i="2"/>
  <c r="J54" i="2"/>
  <c r="AO51" i="2" l="1"/>
  <c r="N45" i="46"/>
  <c r="T52" i="2"/>
  <c r="V52" i="2" s="1"/>
  <c r="L52" i="2"/>
  <c r="AG52" i="2" s="1"/>
  <c r="AM52" i="2" s="1"/>
  <c r="Q54" i="2"/>
  <c r="U54" i="2" s="1"/>
  <c r="M45" i="46" l="1"/>
  <c r="O45" i="46" s="1"/>
  <c r="H46" i="46" s="1"/>
  <c r="K46" i="46" s="1"/>
  <c r="L46" i="46" s="1"/>
  <c r="AL52" i="2"/>
  <c r="Q50" i="46" s="1"/>
  <c r="I50" i="46" s="1"/>
  <c r="J50" i="46" s="1"/>
  <c r="AK52" i="2"/>
  <c r="S53" i="2"/>
  <c r="AF53" i="2" s="1"/>
  <c r="K53" i="2"/>
  <c r="W52" i="2"/>
  <c r="AO52" i="2" s="1"/>
  <c r="P55" i="2"/>
  <c r="J55" i="2"/>
  <c r="N46" i="46" l="1"/>
  <c r="T53" i="2"/>
  <c r="V53" i="2" s="1"/>
  <c r="L53" i="2"/>
  <c r="AG53" i="2" s="1"/>
  <c r="AJ53" i="2"/>
  <c r="Q55" i="2"/>
  <c r="U55" i="2" s="1"/>
  <c r="M46" i="46" l="1"/>
  <c r="O46" i="46" s="1"/>
  <c r="AM53" i="2"/>
  <c r="AL53" i="2"/>
  <c r="Q51" i="46" s="1"/>
  <c r="I51" i="46" s="1"/>
  <c r="J51" i="46" s="1"/>
  <c r="AK53" i="2"/>
  <c r="S54" i="2"/>
  <c r="AF54" i="2" s="1"/>
  <c r="AJ54" i="2" s="1"/>
  <c r="K54" i="2"/>
  <c r="W53" i="2"/>
  <c r="P56" i="2"/>
  <c r="J56" i="2"/>
  <c r="AO53" i="2" l="1"/>
  <c r="H47" i="46"/>
  <c r="K47" i="46" s="1"/>
  <c r="L47" i="46" s="1"/>
  <c r="T54" i="2"/>
  <c r="V54" i="2" s="1"/>
  <c r="L54" i="2"/>
  <c r="AG54" i="2" s="1"/>
  <c r="AM54" i="2" s="1"/>
  <c r="Q56" i="2"/>
  <c r="U56" i="2" s="1"/>
  <c r="N47" i="46" l="1"/>
  <c r="AL54" i="2"/>
  <c r="Q52" i="46" s="1"/>
  <c r="I52" i="46" s="1"/>
  <c r="J52" i="46" s="1"/>
  <c r="AK54" i="2"/>
  <c r="S55" i="2"/>
  <c r="AF55" i="2" s="1"/>
  <c r="AJ55" i="2" s="1"/>
  <c r="K55" i="2"/>
  <c r="W54" i="2"/>
  <c r="AO54" i="2" s="1"/>
  <c r="AI56" i="2"/>
  <c r="M47" i="46" l="1"/>
  <c r="O47" i="46" s="1"/>
  <c r="T55" i="2"/>
  <c r="V55" i="2" s="1"/>
  <c r="L55" i="2"/>
  <c r="AG55" i="2" s="1"/>
  <c r="H48" i="46" l="1"/>
  <c r="K48" i="46" s="1"/>
  <c r="L48" i="46" s="1"/>
  <c r="AL55" i="2"/>
  <c r="Q53" i="46" s="1"/>
  <c r="I53" i="46" s="1"/>
  <c r="J53" i="46" s="1"/>
  <c r="AK55" i="2"/>
  <c r="AM55" i="2"/>
  <c r="K56" i="2"/>
  <c r="S56" i="2"/>
  <c r="AF56" i="2" s="1"/>
  <c r="W55" i="2"/>
  <c r="AO55" i="2" l="1"/>
  <c r="N48" i="46"/>
  <c r="AJ56" i="2"/>
  <c r="T56" i="2"/>
  <c r="V56" i="2" s="1"/>
  <c r="W56" i="2" s="1"/>
  <c r="L56" i="2"/>
  <c r="AU56" i="2" s="1"/>
  <c r="K23" i="1" s="1"/>
  <c r="K25" i="1" s="1"/>
  <c r="K26" i="1" s="1"/>
  <c r="H27" i="1" s="1"/>
  <c r="M48" i="46" l="1"/>
  <c r="AS56" i="2"/>
  <c r="H24" i="1" s="1"/>
  <c r="AG56" i="2"/>
  <c r="O48" i="46" l="1"/>
  <c r="H49" i="46" s="1"/>
  <c r="K49" i="46" s="1"/>
  <c r="L49" i="46" s="1"/>
  <c r="N49" i="46" s="1"/>
  <c r="AL56" i="2"/>
  <c r="Q54" i="46" s="1"/>
  <c r="I54" i="46" s="1"/>
  <c r="J54" i="46" s="1"/>
  <c r="J55" i="46" s="1"/>
  <c r="C14" i="46" s="1"/>
  <c r="AK56" i="2"/>
  <c r="AM56" i="2"/>
  <c r="M49" i="46" l="1"/>
  <c r="O49" i="46" s="1"/>
  <c r="H50" i="46" s="1"/>
  <c r="K50" i="46" s="1"/>
  <c r="L50" i="46" s="1"/>
  <c r="B40" i="46"/>
  <c r="AQ56" i="2"/>
  <c r="H25" i="1" s="1"/>
  <c r="G25" i="1" s="1"/>
  <c r="AO56" i="2"/>
  <c r="AR56" i="2" s="1"/>
  <c r="H26" i="1" s="1"/>
  <c r="N50" i="46" l="1"/>
  <c r="M50" i="46" l="1"/>
  <c r="O50" i="46" s="1"/>
  <c r="H51" i="46" s="1"/>
  <c r="K51" i="46" s="1"/>
  <c r="L51" i="46" s="1"/>
  <c r="N51" i="46" l="1"/>
  <c r="M51" i="46" l="1"/>
  <c r="O51" i="46" s="1"/>
  <c r="H52" i="46" l="1"/>
  <c r="K52" i="46" s="1"/>
  <c r="L52" i="46" s="1"/>
  <c r="N52" i="46" l="1"/>
  <c r="M52" i="46" l="1"/>
  <c r="O52" i="46" s="1"/>
  <c r="H53" i="46" l="1"/>
  <c r="K53" i="46" s="1"/>
  <c r="L53" i="46" s="1"/>
  <c r="N53" i="46" l="1"/>
  <c r="M53" i="46" l="1"/>
  <c r="O53" i="46" s="1"/>
  <c r="H54" i="46" l="1"/>
  <c r="K54" i="46" s="1"/>
  <c r="L54" i="46" s="1"/>
  <c r="N54" i="46" l="1"/>
  <c r="M54" i="46" l="1"/>
  <c r="O54" i="46" s="1"/>
  <c r="N55" i="46"/>
  <c r="C17" i="46" s="1"/>
  <c r="L55" i="46"/>
  <c r="C15" i="46" s="1"/>
  <c r="C16" i="46" l="1"/>
  <c r="C18" i="4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Steph-Büro</author>
    <author>SAHR</author>
    <author>ASE PC</author>
    <author>Andre-Büro</author>
  </authors>
  <commentList>
    <comment ref="H5" authorId="0" shapeId="0" xr:uid="{994AD406-8C2E-428E-8ECE-DB1FE04637E0}">
      <text>
        <r>
          <rPr>
            <sz val="9"/>
            <color indexed="81"/>
            <rFont val="Segoe UI"/>
            <family val="2"/>
          </rPr>
          <t>Tragen Sie hier eine zweite Finanzierungssumme ein, sofern Ihre Gesamtfinanzierung aus zwei Darlehen besteht. 
Z.B. können Sie die Summe der Kaufnebenkosten hier eintragen um diese mitfzufinanzieren</t>
        </r>
      </text>
    </comment>
    <comment ref="D6" authorId="0" shapeId="0" xr:uid="{3507146B-6781-4191-A5C9-A3B42F70CFAD}">
      <text>
        <r>
          <rPr>
            <sz val="9"/>
            <color indexed="81"/>
            <rFont val="Segoe UI"/>
            <family val="2"/>
          </rPr>
          <t>Geben Sie die den Grundstücksanteil in % an, bezogen auf den Kaufpreis.
Z.B.: 15%</t>
        </r>
      </text>
    </comment>
    <comment ref="C7" authorId="1" shapeId="0" xr:uid="{00000000-0006-0000-0100-000001000000}">
      <text>
        <r>
          <rPr>
            <sz val="8"/>
            <color indexed="81"/>
            <rFont val="Tahoma"/>
            <family val="2"/>
          </rPr>
          <t xml:space="preserve">Nur für die Sanierung von Baudenkmälern und Gebäuden in Sanierungsgebieten. </t>
        </r>
        <r>
          <rPr>
            <sz val="8"/>
            <color indexed="81"/>
            <rFont val="Tahoma"/>
            <family val="2"/>
          </rPr>
          <t xml:space="preserve">
</t>
        </r>
      </text>
    </comment>
    <comment ref="C8" authorId="2" shapeId="0" xr:uid="{24BDD388-BD0F-4C5A-A2D7-4E704E3B85F2}">
      <text>
        <r>
          <rPr>
            <sz val="8"/>
            <color indexed="81"/>
            <rFont val="Arial"/>
            <family val="2"/>
          </rPr>
          <t>Grunderwerbsteuer
Notarkosten
Eintragungskosten</t>
        </r>
      </text>
    </comment>
    <comment ref="D8" authorId="0" shapeId="0" xr:uid="{30A8B99F-149B-4E25-B898-8DBAFC0EAFA4}">
      <text>
        <r>
          <rPr>
            <sz val="9"/>
            <color indexed="81"/>
            <rFont val="Segoe UI"/>
            <family val="2"/>
          </rPr>
          <t xml:space="preserve">Geben Sie hier die gesamten Kaufnebenkosten in % an. Z.B.: 8,5
</t>
        </r>
      </text>
    </comment>
    <comment ref="C9" authorId="1" shapeId="0" xr:uid="{00000000-0006-0000-0100-000002000000}">
      <text>
        <r>
          <rPr>
            <sz val="8"/>
            <color indexed="81"/>
            <rFont val="Tahoma"/>
            <family val="2"/>
          </rPr>
          <t>Das Programm geht davon aus, dass die hier eingetragenen Renovierungskosten im Jahr des Kaufs anfallen und in voller Höhe sofort absetzbar sind.</t>
        </r>
      </text>
    </comment>
    <comment ref="H10" authorId="2" shapeId="0" xr:uid="{3156E169-0CD6-415B-834D-685878985180}">
      <text>
        <r>
          <rPr>
            <sz val="9"/>
            <color indexed="81"/>
            <rFont val="Segoe UI"/>
            <family val="2"/>
          </rPr>
          <t>Tragen Sie hier den geschätzten Anschlußzinssatz in Prozent ein</t>
        </r>
      </text>
    </comment>
    <comment ref="C11" authorId="1" shapeId="0" xr:uid="{00000000-0006-0000-0100-000003000000}">
      <text>
        <r>
          <rPr>
            <sz val="8"/>
            <color indexed="81"/>
            <rFont val="Arial"/>
            <family val="2"/>
          </rPr>
          <t xml:space="preserve">Nettokaltmiete pro Jahr ohne Betriebskosten. </t>
        </r>
        <r>
          <rPr>
            <sz val="8"/>
            <color indexed="81"/>
            <rFont val="Tahoma"/>
            <family val="2"/>
          </rPr>
          <t xml:space="preserve">
</t>
        </r>
      </text>
    </comment>
    <comment ref="D11" authorId="0" shapeId="0" xr:uid="{9F3B71C2-8479-4CF8-BCC2-0669934C5B04}">
      <text>
        <r>
          <rPr>
            <sz val="9"/>
            <color indexed="81"/>
            <rFont val="Segoe UI"/>
            <family val="2"/>
          </rPr>
          <t>Geben Sie hier die monatliche Netto-Kaltmiete der Wohnung ein</t>
        </r>
      </text>
    </comment>
    <comment ref="D12" authorId="0" shapeId="0" xr:uid="{7E2347E8-3276-4567-A68F-945D6F1F29AD}">
      <text>
        <r>
          <rPr>
            <sz val="9"/>
            <color indexed="81"/>
            <rFont val="Segoe UI"/>
            <family val="2"/>
          </rPr>
          <t xml:space="preserve">Entnehmen Sie die Instandhaltungskosten pro Monat dem Wirtschaftsplan und geben die Summe hier ein
</t>
        </r>
      </text>
    </comment>
    <comment ref="D13" authorId="0" shapeId="0" xr:uid="{3701CAE6-1D76-4385-9C57-89FFBBE05C79}">
      <text>
        <r>
          <rPr>
            <sz val="9"/>
            <color indexed="81"/>
            <rFont val="Segoe UI"/>
            <family val="2"/>
          </rPr>
          <t>Geben Sie hier die Verwaltungskosten pro Monat für die WEG-Verwaltung und ggf. die Sondereigentumsveraltung ein</t>
        </r>
      </text>
    </comment>
    <comment ref="C14" authorId="0" shapeId="0" xr:uid="{3956EBC4-1143-45CF-B5F6-FA2F205A871C}">
      <text>
        <r>
          <rPr>
            <sz val="9"/>
            <color indexed="81"/>
            <rFont val="Segoe UI"/>
            <family val="2"/>
          </rPr>
          <t>Kaltmieteinnahmen - Instandhaltungskosten - Verwaltungskosten</t>
        </r>
      </text>
    </comment>
    <comment ref="C15" authorId="1" shapeId="0" xr:uid="{00000000-0006-0000-0100-000004000000}">
      <text>
        <r>
          <rPr>
            <sz val="8"/>
            <color indexed="81"/>
            <rFont val="Tahoma"/>
            <family val="2"/>
          </rPr>
          <t>Empfehlung: Rechnen Sie vorsichtig mit einer durchschnittlichen Mieterhöhung von 2 bis 4 Prozent. Achten Sie auch darauf, dass Sie eine realistische Ausgangsmiete angesetzt haben.</t>
        </r>
      </text>
    </comment>
    <comment ref="H15" authorId="0" shapeId="0" xr:uid="{4569EA2D-0DFF-47A2-A23F-EC5F44521CCC}">
      <text>
        <r>
          <rPr>
            <sz val="9"/>
            <color indexed="81"/>
            <rFont val="Segoe UI"/>
            <family val="2"/>
          </rPr>
          <t>Geben Sie hier die Abschreibung in Prozent ein (KEINE Sonder-AfA!)
Standard ist: Baujahr des Gebäudes VOR 1924 = 2,5%
Baujahr des Gebäudes NACH 1924 = 2,0%
Sofern die Restnutzungsdauer verkürzt ist, tragen Sie hier den höheren Wert ein (Z.B.: 3%)</t>
        </r>
      </text>
    </comment>
    <comment ref="C16" authorId="0" shapeId="0" xr:uid="{F97418D9-2A24-4026-AE53-23E4137C5130}">
      <text>
        <r>
          <rPr>
            <sz val="9"/>
            <color indexed="81"/>
            <rFont val="Segoe UI"/>
            <family val="2"/>
          </rPr>
          <t>Geben Sie hier die kalkulierte Kostensteigerung in Prozent pro Jahr, für die Verwaltungs- und Rücklagenkosten ein.</t>
        </r>
      </text>
    </comment>
    <comment ref="C17" authorId="1" shapeId="0" xr:uid="{00000000-0006-0000-0100-000005000000}">
      <text>
        <r>
          <rPr>
            <sz val="8"/>
            <color indexed="81"/>
            <rFont val="Tahoma"/>
            <family val="2"/>
          </rPr>
          <t xml:space="preserve">Ankaufsfaktor. Kaufpreis (inklusive Renovierungskosten)/
Jahresnettokaltmiete.
</t>
        </r>
      </text>
    </comment>
    <comment ref="H17" authorId="0" shapeId="0" xr:uid="{0CBDD011-EEB7-4326-866A-FC396850A11D}">
      <text>
        <r>
          <rPr>
            <sz val="9"/>
            <color indexed="81"/>
            <rFont val="Segoe UI"/>
            <family val="2"/>
          </rPr>
          <t xml:space="preserve">Wählen Sie den Familienstand aus
</t>
        </r>
      </text>
    </comment>
    <comment ref="C18" authorId="1" shapeId="0" xr:uid="{00000000-0006-0000-0100-000006000000}">
      <text>
        <r>
          <rPr>
            <sz val="8"/>
            <color indexed="81"/>
            <rFont val="Tahoma"/>
            <family val="2"/>
          </rPr>
          <t>Jahresnettokaltmiete/
Kaufpreis (inklusive Renovierungskosten)</t>
        </r>
      </text>
    </comment>
    <comment ref="H18" authorId="0" shapeId="0" xr:uid="{5236300C-2918-43E5-B4C6-C903FAD65FBE}">
      <text>
        <r>
          <rPr>
            <sz val="9"/>
            <color indexed="81"/>
            <rFont val="Segoe UI"/>
            <family val="2"/>
          </rPr>
          <t xml:space="preserve">Wäheln Sie das zu versteuernde Jahreseinkommen aus
</t>
        </r>
      </text>
    </comment>
    <comment ref="C19" authorId="1" shapeId="0" xr:uid="{00000000-0006-0000-0100-000007000000}">
      <text>
        <r>
          <rPr>
            <sz val="8"/>
            <color indexed="81"/>
            <rFont val="Tahoma"/>
            <family val="2"/>
          </rPr>
          <t>Jahresreinertrag/
Gesamtkosten</t>
        </r>
      </text>
    </comment>
    <comment ref="C22" authorId="0" shapeId="0" xr:uid="{33273147-4152-4317-9288-EF4C59D67D43}">
      <text>
        <r>
          <rPr>
            <sz val="9"/>
            <color indexed="81"/>
            <rFont val="Segoe UI"/>
            <family val="2"/>
          </rPr>
          <t>Geben Sie hier das einzusetzende Eigenkapital ein. Es muss nicht zwingend Eigenkapital eingesetzt werden, da es ggf. finanziert werden kann.</t>
        </r>
      </text>
    </comment>
    <comment ref="H22" authorId="1" shapeId="0" xr:uid="{00000000-0006-0000-0100-00000B000000}">
      <text>
        <r>
          <rPr>
            <sz val="8"/>
            <color indexed="81"/>
            <rFont val="Tahoma"/>
            <family val="2"/>
          </rPr>
          <t xml:space="preserve">Geben Sie hier den geschätzten Verkaufsfaktor ein. Vielfaches der Jahres-Nettokaltmiete. Empfehlung: Setzen Sie den Faktor nicht zu hoch an. In normalen Lagen sollte der Faktor nicht über 30 liegen. In guten Lagen kann der Faktor teilweise das 35-fache oder mehr der Jahresmiete betragen.
</t>
        </r>
      </text>
    </comment>
    <comment ref="C24" authorId="0" shapeId="0" xr:uid="{F705FF30-21A9-429A-A1ED-27CC0311D7D8}">
      <text>
        <r>
          <rPr>
            <sz val="9"/>
            <color indexed="81"/>
            <rFont val="Segoe UI"/>
            <family val="2"/>
          </rPr>
          <t xml:space="preserve">Bei einer Finanzierungslücke oder Überfinanzierung passen Sie die Darlehenssumme oder das Eigenkapital an
</t>
        </r>
      </text>
    </comment>
    <comment ref="H27" authorId="0" shapeId="0" xr:uid="{BBA100CA-06D9-4BBA-BDC9-0C9B56B9034C}">
      <text>
        <r>
          <rPr>
            <sz val="9"/>
            <color indexed="81"/>
            <rFont val="Segoe UI"/>
            <family val="2"/>
          </rPr>
          <t>So berechnet sich die Eigenkapitalrendite:
Mietertrag – (Zinszahlungen + Verwaltungskosten) = Jahresreinertrag
(Jahresreinertrag / Eigenkapital) * 100 = Eigenkapitalrendite in Prozent</t>
        </r>
      </text>
    </comment>
    <comment ref="H28" authorId="1" shapeId="0" xr:uid="{00000000-0006-0000-0100-00000A000000}">
      <text>
        <r>
          <rPr>
            <sz val="8"/>
            <color indexed="81"/>
            <rFont val="Tahoma"/>
            <family val="2"/>
          </rPr>
          <t>Sie können einen Anlagehorizont bis zu 40 Jahren wählen. Die Anzeige in der Ergebnistabelle richtet sich nach dieser Eingabe. 
Am Ende des Zeitraums wird ein Verkauf der Immobilie zum geschätzten Verkaufsfaktor unterstellt.</t>
        </r>
      </text>
    </comment>
    <comment ref="C29" authorId="1" shapeId="0" xr:uid="{00000000-0006-0000-0100-000008000000}">
      <text>
        <r>
          <rPr>
            <sz val="8"/>
            <color indexed="81"/>
            <rFont val="Tahoma"/>
            <family val="2"/>
          </rPr>
          <t xml:space="preserve">Geben Sie hier ein Disagio (Abschlag vom Darlehensbetrag)  ein,  passt das Programm den Darlehensbetrag an. Ein Disagio bis zu 5 Prozent ist in der Regel steuerlich sofort absetzbar, ein Disagio über 5 Prozent wird auf die Jahre der Zinsbindung verteilt.
</t>
        </r>
      </text>
    </comment>
    <comment ref="H29" authorId="3" shapeId="0" xr:uid="{8DCA570F-48C0-4F19-8502-3DD9566B7DFC}">
      <text>
        <r>
          <rPr>
            <b/>
            <sz val="9"/>
            <color indexed="81"/>
            <rFont val="Segoe UI"/>
            <family val="2"/>
          </rPr>
          <t>Andre-Büro:</t>
        </r>
        <r>
          <rPr>
            <sz val="9"/>
            <color indexed="81"/>
            <rFont val="Segoe UI"/>
            <family val="2"/>
          </rPr>
          <t xml:space="preserve">
</t>
        </r>
      </text>
    </comment>
    <comment ref="C30" authorId="0" shapeId="0" xr:uid="{BFB9C13F-07CA-4566-B49B-E2D2A26BB3DD}">
      <text>
        <r>
          <rPr>
            <sz val="9"/>
            <color indexed="81"/>
            <rFont val="Segoe UI"/>
            <family val="2"/>
          </rPr>
          <t>Tragen Sie hier den anfänglichen Zinsastz in Prozent ein</t>
        </r>
      </text>
    </comment>
    <comment ref="C31" authorId="0" shapeId="0" xr:uid="{C6AE1E84-261A-45D5-8EED-6AE90517C06E}">
      <text>
        <r>
          <rPr>
            <sz val="9"/>
            <color indexed="81"/>
            <rFont val="Segoe UI"/>
            <family val="2"/>
          </rPr>
          <t>Tragen Sie hier den anfänglichen Tilgungssatz in Prozent ein</t>
        </r>
      </text>
    </comment>
    <comment ref="C33" authorId="1" shapeId="0" xr:uid="{00000000-0006-0000-0100-000009000000}">
      <text>
        <r>
          <rPr>
            <sz val="8"/>
            <color indexed="81"/>
            <rFont val="Tahoma"/>
            <family val="2"/>
          </rPr>
          <t>Tragen Sie hier den geschätzten Anschlußzinssatz in Prozent ein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<sst xmlns="http://schemas.openxmlformats.org/spreadsheetml/2006/main" count="539" uniqueCount="388">
  <si>
    <t>Kaufpreis</t>
  </si>
  <si>
    <t>Gesamtkosten</t>
  </si>
  <si>
    <t>Geschätzte Kostensteigerung pro Jahr (Prozent)</t>
  </si>
  <si>
    <t>Objekt</t>
  </si>
  <si>
    <t>Finanzierung</t>
  </si>
  <si>
    <t>Eigenkapital</t>
  </si>
  <si>
    <t>Steuern</t>
  </si>
  <si>
    <t xml:space="preserve">    davon Grundstücksanteil</t>
  </si>
  <si>
    <t>Jahr</t>
  </si>
  <si>
    <t>Bemessung für Afa</t>
  </si>
  <si>
    <t>Liquidität</t>
  </si>
  <si>
    <t>Verkaufspreis</t>
  </si>
  <si>
    <t>Restschuld fällig</t>
  </si>
  <si>
    <t>Kaufnebenkosten</t>
  </si>
  <si>
    <t>Renovierungskosten (sofort absetzbar)</t>
  </si>
  <si>
    <t>Werbungs-kosten (Sofortabzug)</t>
  </si>
  <si>
    <t>Afasatz Gebäude</t>
  </si>
  <si>
    <t>Afa Gebäude</t>
  </si>
  <si>
    <t>Bemessung Afa Sanierung</t>
  </si>
  <si>
    <t>Afa-Satz Sanierung</t>
  </si>
  <si>
    <t>Afa Sanierung</t>
  </si>
  <si>
    <t>Bemessung für Sonderabschreibung (Sanierung)</t>
  </si>
  <si>
    <t>Disagio (Prozent)</t>
  </si>
  <si>
    <t>Geschätzter Verkaufsfaktor (Kaufpreis/Miete-Verhältnis)</t>
  </si>
  <si>
    <t xml:space="preserve">    davon Sanierungskosten nach § 7h oder § 7i EStG</t>
  </si>
  <si>
    <t>Bemessung für Abschreibung (anteilige Gebäudekosten)</t>
  </si>
  <si>
    <t>Geschätzte Mietsteigerung pro Jahr (Prozent)</t>
  </si>
  <si>
    <t>Anfängliche Brutto-Mietrendite (Prozent)</t>
  </si>
  <si>
    <t>Anfängliche Netto-Mietrendite (Prozent)</t>
  </si>
  <si>
    <t>Zu versteuerndes Einkommen</t>
  </si>
  <si>
    <t>Überschuss/
Unterdeckung (Euro) pro Jahr</t>
  </si>
  <si>
    <t>Möglicher Verkaufspreis laut angegebenen Faktor</t>
  </si>
  <si>
    <t>Zinssatz 1</t>
  </si>
  <si>
    <t>Zins 1</t>
  </si>
  <si>
    <t>Tilgung 1</t>
  </si>
  <si>
    <t>Zinssatz 2</t>
  </si>
  <si>
    <t>Zins 2</t>
  </si>
  <si>
    <t>Tilgung 2</t>
  </si>
  <si>
    <t>Zinsbindung 1 (Jahre)</t>
  </si>
  <si>
    <t>Zinssatz 1 (Prozent)</t>
  </si>
  <si>
    <t>Tilgungssatz 1 (Prozent)</t>
  </si>
  <si>
    <t>Geschätzter Anschlusszinssatz 1 (Prozent)</t>
  </si>
  <si>
    <t>Zinsbindung 2 (Jahre)</t>
  </si>
  <si>
    <t>Zinssatz 2 (Prozent)</t>
  </si>
  <si>
    <t>Tilgungssatz 2 (Prozent)</t>
  </si>
  <si>
    <t>Geschätzter Anschlusszinssatz 2 (Prozent)</t>
  </si>
  <si>
    <t>Kreditrate 1 (Euro) pro Jahr</t>
  </si>
  <si>
    <t>Kreditrate 2 (Euro) pro Jahr</t>
  </si>
  <si>
    <t>Hilfsfeld Rate 1</t>
  </si>
  <si>
    <t>Hilfsfeld Rate 2</t>
  </si>
  <si>
    <t>Miete</t>
  </si>
  <si>
    <t>Summe</t>
  </si>
  <si>
    <t>Zinsen</t>
  </si>
  <si>
    <t>Tilgung</t>
  </si>
  <si>
    <t>Jahre</t>
  </si>
  <si>
    <t>Immobilienwert</t>
  </si>
  <si>
    <t>Restschuld</t>
  </si>
  <si>
    <t>mtl.</t>
  </si>
  <si>
    <t>Mieteinnah-men pro Monat</t>
  </si>
  <si>
    <t>Darlehen 1</t>
  </si>
  <si>
    <t>Darlehen 2</t>
  </si>
  <si>
    <t>Eigenkapital (kann auch finanziert werden)</t>
  </si>
  <si>
    <t>Instandhaltungsrücklage mtl.</t>
  </si>
  <si>
    <t>Ausgaben gesamt mtl.</t>
  </si>
  <si>
    <t>Mieteinnahme kalt mtl.</t>
  </si>
  <si>
    <t>Finanzierungsrate Darlehen 2 mtl.</t>
  </si>
  <si>
    <t>Finanzierungsrate Darlehen 1 mtl.</t>
  </si>
  <si>
    <t>Hausverwaltungskosten mtl.</t>
  </si>
  <si>
    <t>Kurzberechnung Ihrer vermieteten Eigentumswohnung</t>
  </si>
  <si>
    <t>Kaufnebenkosten (Grunderwerbsteuer, Notar, etc.)</t>
  </si>
  <si>
    <t>Diese Berechnung ersetzt in keinem Fall eine Steuerliche Beratung durch einen Steuerberater. Der Ersteller dieser Berechnung ist kein Steuerberater und darf in keinem Fall steuerlich beraten.</t>
  </si>
  <si>
    <t>Miete kalt</t>
  </si>
  <si>
    <t>Ausgaben</t>
  </si>
  <si>
    <t>Verwaltung</t>
  </si>
  <si>
    <t>Instandhaltungsrücklage (sofern diese ausgegeben wurde)</t>
  </si>
  <si>
    <t>Einnahmen gesamt</t>
  </si>
  <si>
    <t>Einnahmen</t>
  </si>
  <si>
    <t>Ausgaben gesamt</t>
  </si>
  <si>
    <t>Monatlich</t>
  </si>
  <si>
    <t>Jährlich</t>
  </si>
  <si>
    <t>Steuerliche Betrachtung Ihrer vermieteten Eigentumswohnung</t>
  </si>
  <si>
    <t>Mieteinnahmen pro Jahr</t>
  </si>
  <si>
    <t>Jahresreinertrag</t>
  </si>
  <si>
    <t>Kreditrate pro Jahr</t>
  </si>
  <si>
    <t>Restschuld Darlehen 1</t>
  </si>
  <si>
    <t>Restschuld Darlehen 2</t>
  </si>
  <si>
    <t>Restschuld gesamt</t>
  </si>
  <si>
    <t>Mieteinnah-men pro Jahr</t>
  </si>
  <si>
    <t>Nicht um-legbare Kosten pro Jahr</t>
  </si>
  <si>
    <t>Jahresrein-ertrag</t>
  </si>
  <si>
    <t>Überschuss/
Unterdeckung pro Jahr</t>
  </si>
  <si>
    <t>Überschuss/
Unterdeckung pro Monat</t>
  </si>
  <si>
    <t>Afa Bestand</t>
  </si>
  <si>
    <t>Basis der Absetzung für Abnutzung (Afa)</t>
  </si>
  <si>
    <t>Berechnung der Absetzung für Abnutzung (Afa)</t>
  </si>
  <si>
    <t>Basis Absetzung für Abnutzung Sanierung</t>
  </si>
  <si>
    <t>Absetzung für Abnutzung Gebäudeanteil</t>
  </si>
  <si>
    <t>Absetzung für Abnutzung Nebenkosten</t>
  </si>
  <si>
    <t>Basis Absetzung für Abnutzung Bestand gesamt</t>
  </si>
  <si>
    <t>Absetzung für Abnutzung gesamt</t>
  </si>
  <si>
    <t>Eigenmitteleinsatz</t>
  </si>
  <si>
    <t>Anschaffungskosten</t>
  </si>
  <si>
    <t>Finanzierungskosten</t>
  </si>
  <si>
    <t>Finanzierungskosten gesamt</t>
  </si>
  <si>
    <t>Nichtumlagefähige Kosten</t>
  </si>
  <si>
    <t>Nichtumlagefähige Kosten gesamt</t>
  </si>
  <si>
    <t>Finanzierungsbedarf</t>
  </si>
  <si>
    <t>Darlehenssumme</t>
  </si>
  <si>
    <t>Gesamtsumme der Basis für Absetzung für Abnutzung</t>
  </si>
  <si>
    <t>Eingabe</t>
  </si>
  <si>
    <t>nachsehen in Spalte ledig oder verheiratet</t>
  </si>
  <si>
    <t>Nachsehen in Spalte</t>
  </si>
  <si>
    <t>Ergebnis Grenzsteuersatz</t>
  </si>
  <si>
    <t>Hilfsrechnung wegen doppelter Abfrage:</t>
  </si>
  <si>
    <t>Spalte1</t>
  </si>
  <si>
    <t>Spalte2</t>
  </si>
  <si>
    <t>Spalte3</t>
  </si>
  <si>
    <t>Spalte4</t>
  </si>
  <si>
    <t>Spalte5</t>
  </si>
  <si>
    <t>Spalte6</t>
  </si>
  <si>
    <t>Spalte7</t>
  </si>
  <si>
    <t>Spalte8</t>
  </si>
  <si>
    <t>Spalte9</t>
  </si>
  <si>
    <t>Spalte10</t>
  </si>
  <si>
    <t>Spalte11</t>
  </si>
  <si>
    <t>Spalte12</t>
  </si>
  <si>
    <t>Spalte13</t>
  </si>
  <si>
    <t>Spalte14</t>
  </si>
  <si>
    <t>Spalte15</t>
  </si>
  <si>
    <t>Spalte16</t>
  </si>
  <si>
    <t>Spalte17</t>
  </si>
  <si>
    <t>Spalte18</t>
  </si>
  <si>
    <t>Spalte19</t>
  </si>
  <si>
    <t>Spalte20</t>
  </si>
  <si>
    <t>Spalte21</t>
  </si>
  <si>
    <t>Spalte22</t>
  </si>
  <si>
    <t>Spalte23</t>
  </si>
  <si>
    <t>Spalte24</t>
  </si>
  <si>
    <t>Spalte25</t>
  </si>
  <si>
    <t>Spalte26</t>
  </si>
  <si>
    <t>Spalte27</t>
  </si>
  <si>
    <t>Spalte28</t>
  </si>
  <si>
    <t>Spalte29</t>
  </si>
  <si>
    <t>Spalte30</t>
  </si>
  <si>
    <t>Spalte31</t>
  </si>
  <si>
    <t>Spalte32</t>
  </si>
  <si>
    <t>Spalte33</t>
  </si>
  <si>
    <t>Spalte34</t>
  </si>
  <si>
    <t>Spalte35</t>
  </si>
  <si>
    <t>Spalte36</t>
  </si>
  <si>
    <t>Spalte37</t>
  </si>
  <si>
    <t>Spalte38</t>
  </si>
  <si>
    <t>ledig</t>
  </si>
  <si>
    <t>verheiratet</t>
  </si>
  <si>
    <t>Familienstand</t>
  </si>
  <si>
    <t>Instandhaltungskosten pro Jahr</t>
  </si>
  <si>
    <t>Verwaltungskosten pro Jahr</t>
  </si>
  <si>
    <t>Darlehen gesamt</t>
  </si>
  <si>
    <t>Finanzierungssumme 1</t>
  </si>
  <si>
    <t>Kreditrate pro Jahr 1</t>
  </si>
  <si>
    <t>Anschlussrate pro Jahr 1</t>
  </si>
  <si>
    <t>Finanzierungssumme 2</t>
  </si>
  <si>
    <t>Kreditrate pro Jahr 2</t>
  </si>
  <si>
    <t>Anschlussrate pro Jahr 2</t>
  </si>
  <si>
    <t>Einnahmen monatlich</t>
  </si>
  <si>
    <t>Ausgaben monatlich</t>
  </si>
  <si>
    <t>Verwaltung &amp; Rücklage</t>
  </si>
  <si>
    <t>Summe Einnahmen</t>
  </si>
  <si>
    <t>Summe Ausgaben</t>
  </si>
  <si>
    <t>Möglicher Immobilienwert</t>
  </si>
  <si>
    <t>Kaufpreis:</t>
  </si>
  <si>
    <t>Person 1</t>
  </si>
  <si>
    <t>Person 2</t>
  </si>
  <si>
    <t>Vermögen</t>
  </si>
  <si>
    <t>Verbindlichkeiten</t>
  </si>
  <si>
    <t>Zu erwartende gesetzliche Rente</t>
  </si>
  <si>
    <t>Jahre bis Rentenbeginn</t>
  </si>
  <si>
    <t>Im Haushalt lebende Erwachsene Personen</t>
  </si>
  <si>
    <t>Im Haushalt lebende Kinder</t>
  </si>
  <si>
    <t>41-45</t>
  </si>
  <si>
    <t>Inflationstabelle</t>
  </si>
  <si>
    <t>100.000 € sind nach 25 Jahren bei 3% Inflation</t>
  </si>
  <si>
    <t>nur noch 46.700 € wert! (100.000 x 0,467 = 46.700 €)</t>
  </si>
  <si>
    <t>Inflation in %</t>
  </si>
  <si>
    <t>Personen</t>
  </si>
  <si>
    <t>LHK Pauschalen</t>
  </si>
  <si>
    <t>Kinder</t>
  </si>
  <si>
    <t>Autos</t>
  </si>
  <si>
    <t>Auto Pauschalen</t>
  </si>
  <si>
    <t>Alter des Kunden</t>
  </si>
  <si>
    <t>Tilgung bis 67</t>
  </si>
  <si>
    <t>20-30</t>
  </si>
  <si>
    <t>31-35</t>
  </si>
  <si>
    <t>36-40</t>
  </si>
  <si>
    <t>46-50</t>
  </si>
  <si>
    <t>Inflationssatz</t>
  </si>
  <si>
    <t>Zinsspalte</t>
  </si>
  <si>
    <t>monatlich</t>
  </si>
  <si>
    <t>Zwischensumme Rente</t>
  </si>
  <si>
    <t>Faktor Inflation laut Inflationstabelle</t>
  </si>
  <si>
    <t>Inflationsbereinigte Rente gesetzlich</t>
  </si>
  <si>
    <t>Inflationsbereinigte Rente privat</t>
  </si>
  <si>
    <t>Steuern auf gesetzliche Rente</t>
  </si>
  <si>
    <t>Rente netto aus heutiger Sicht</t>
  </si>
  <si>
    <t>Rentenlücke pro Monat</t>
  </si>
  <si>
    <t>Diagramm Einnahmen später im Verhältnis zu heute</t>
  </si>
  <si>
    <t>Nettoeinkommen</t>
  </si>
  <si>
    <t xml:space="preserve">Einnahmen gesamt </t>
  </si>
  <si>
    <t>Im Haushalt lebende volljährige Personen</t>
  </si>
  <si>
    <t>LHK</t>
  </si>
  <si>
    <t>Im Haushalt lebende unterhaltsberechtigte Kinder</t>
  </si>
  <si>
    <t>Eigenkapital welches eingesetzt werden soll</t>
  </si>
  <si>
    <t>Einkommens- &amp; Vermögensbilanz</t>
  </si>
  <si>
    <t>Die grauen Felder bitte ausfüllen</t>
  </si>
  <si>
    <t>Lebenshaltungskostenpauschalen gesamt</t>
  </si>
  <si>
    <t>Aktueller Zins</t>
  </si>
  <si>
    <t>Immobiliendaten</t>
  </si>
  <si>
    <t>Steuer-wirkung</t>
  </si>
  <si>
    <t>Überschuss/
Unterdeckung kumuliert über die Laufzeit</t>
  </si>
  <si>
    <t>Möglicher Überschuss nach Verkauf und Tilgung Darlehen</t>
  </si>
  <si>
    <t>Zur Zusammenfassung</t>
  </si>
  <si>
    <t>weiter</t>
  </si>
  <si>
    <t>zurück</t>
  </si>
  <si>
    <t>Quickcheck der maximalen Finanzierungshöhe</t>
  </si>
  <si>
    <t>Das Ergebnis ist ein Annäherungswert und dient der bestmöglichen Einschätzung.</t>
  </si>
  <si>
    <t>Steuertabelle</t>
  </si>
  <si>
    <t>Menü</t>
  </si>
  <si>
    <t>Erweiterte Berechnungen</t>
  </si>
  <si>
    <t>Einkommens &amp; Vermögensbilanz</t>
  </si>
  <si>
    <t>Rentenlücke</t>
  </si>
  <si>
    <t>Eingabe Immodaten</t>
  </si>
  <si>
    <t>Kurzberechnung Jahr 1</t>
  </si>
  <si>
    <t>Steuerbetrachtung</t>
  </si>
  <si>
    <t>Ergebnistabelle</t>
  </si>
  <si>
    <t>Einstellungen (Pauschalen &amp; Zins)</t>
  </si>
  <si>
    <t>Admin</t>
  </si>
  <si>
    <t>Spalte39</t>
  </si>
  <si>
    <t>Gewinnberechnung</t>
  </si>
  <si>
    <t>Im Haushalt befindliche Autos</t>
  </si>
  <si>
    <t>Beitrag Kranken- und Pflegeversicherung in %</t>
  </si>
  <si>
    <t>Beitrag Kranken- und Pflegeversicherung Summe</t>
  </si>
  <si>
    <t>Überschuss</t>
  </si>
  <si>
    <t>Vorname &amp; Nachname</t>
  </si>
  <si>
    <t>Beitrag PV auf Rente</t>
  </si>
  <si>
    <t>Beitrag KV auf Rente (50%)</t>
  </si>
  <si>
    <t>Möglicher steuerfreier Gewinn</t>
  </si>
  <si>
    <t>51-55</t>
  </si>
  <si>
    <t>56-60</t>
  </si>
  <si>
    <t>Wunschrente</t>
  </si>
  <si>
    <t>Zu erwartende Kaufkraft</t>
  </si>
  <si>
    <t>Realität</t>
  </si>
  <si>
    <t>Wunsch</t>
  </si>
  <si>
    <t>Gesamt</t>
  </si>
  <si>
    <t>Einnahmen / Ausgaben</t>
  </si>
  <si>
    <t>Vermögen/Verbindlichkeiten</t>
  </si>
  <si>
    <t>Überschuss / Verbindlichkeiten</t>
  </si>
  <si>
    <t>Überschuss / Ausgaben</t>
  </si>
  <si>
    <t>Investment</t>
  </si>
  <si>
    <t>Überschuss kumuliert</t>
  </si>
  <si>
    <t>Spalte40</t>
  </si>
  <si>
    <t>Möglicher Verkaufspreis</t>
  </si>
  <si>
    <t>Möglicher Gewinn nach Ablösung Darlehen</t>
  </si>
  <si>
    <t>Möglicher Gewinn nach abl. Darlehen</t>
  </si>
  <si>
    <t>Spalte41</t>
  </si>
  <si>
    <t>Spalte42</t>
  </si>
  <si>
    <t>Annuität</t>
  </si>
  <si>
    <t>Spalte43</t>
  </si>
  <si>
    <t>Spalte432</t>
  </si>
  <si>
    <t>Gebundenes Kapital</t>
  </si>
  <si>
    <t>Eigenkapitalrendite</t>
  </si>
  <si>
    <t>Afa nicht über 100%</t>
  </si>
  <si>
    <t>Spalte232</t>
  </si>
  <si>
    <t>Sonder-tilgung Darlehen 1 (Freie Eingabe)</t>
  </si>
  <si>
    <t>Sonder-tilgung Darlehen 2 (Freie Eingabe)</t>
  </si>
  <si>
    <t>Ankaufsfaktor (Kaufpreis/Miete-Verhältnis)</t>
  </si>
  <si>
    <t>Die grauen Felder ausfüllen!</t>
  </si>
  <si>
    <t>Beispielberechnung</t>
  </si>
  <si>
    <t>Objektwertsteigerung:</t>
  </si>
  <si>
    <t>Tilgung:</t>
  </si>
  <si>
    <t>Eigenaufwand mtl. zu Beginn</t>
  </si>
  <si>
    <t>Eigenaufwand mtl. reduziert um</t>
  </si>
  <si>
    <t>Mieteinnahmen mtl. erhöht um</t>
  </si>
  <si>
    <t>Mieteinnahmen mtl. zu Beginn</t>
  </si>
  <si>
    <t>Unverbindliche Schätzung</t>
  </si>
  <si>
    <t>Rendite</t>
  </si>
  <si>
    <t>AfA in %</t>
  </si>
  <si>
    <t>Aufwendungen monatlich</t>
  </si>
  <si>
    <t>Zins</t>
  </si>
  <si>
    <t>Instandhaltungsrücklage</t>
  </si>
  <si>
    <t>Aufwendungen</t>
  </si>
  <si>
    <t>Bilanz Vermietete Immobilie</t>
  </si>
  <si>
    <t>Ergebnisjahr auswählen:</t>
  </si>
  <si>
    <t>Bilanz</t>
  </si>
  <si>
    <t>Bilanz Diagramm</t>
  </si>
  <si>
    <t>https://www.finanzen.net/ratgeber/rendite-berechnen</t>
  </si>
  <si>
    <t>Jehresrendite berechnen:</t>
  </si>
  <si>
    <t>Jahresrendite = (1 + Gesamtrendite) hoch (365 / Haltedauer in Tagen) – 1</t>
  </si>
  <si>
    <t>Gesamtrendite</t>
  </si>
  <si>
    <t>Unterhaltszahlung an Kinder oder geschiedenen Ehepartner</t>
  </si>
  <si>
    <t>Private Krankenversicherung (Eigenanteil)</t>
  </si>
  <si>
    <t>Kreditraten (Konsumkredite, Autokredite, Leasing, Ratenfinanzierung etc.)</t>
  </si>
  <si>
    <t>Rentensituation</t>
  </si>
  <si>
    <t>Konsumkredite, Autokredite, Immobilienfinanzierung etc.</t>
  </si>
  <si>
    <t>Restschulden gesamt</t>
  </si>
  <si>
    <t>Vermögen gesamt</t>
  </si>
  <si>
    <t>Für dieses Vorhaben</t>
  </si>
  <si>
    <t>Zu erwartende gesetzliche Rente zu Rentenbeginn mtl.</t>
  </si>
  <si>
    <t>Zu erwartende Betriebsrente zu Rentenbeginn mtl.</t>
  </si>
  <si>
    <t>Zu erwartende Riester Rente zu Rentenbeginn mtl.</t>
  </si>
  <si>
    <t>Zinssatz</t>
  </si>
  <si>
    <t>Steuersatz</t>
  </si>
  <si>
    <t>Personenanzahl</t>
  </si>
  <si>
    <t>Alter</t>
  </si>
  <si>
    <t>Für dieses Vorhaben (Mindestens 300 €)</t>
  </si>
  <si>
    <t>Bestehende Immobilienfinanzierungen</t>
  </si>
  <si>
    <t>Maximale Investition monatlich</t>
  </si>
  <si>
    <t>Maximal einzusetzendes Eigenkapital</t>
  </si>
  <si>
    <t>Gewünschte Rentenhöhe laut Kunde zu Rentenbeginn mtl.</t>
  </si>
  <si>
    <t>Unterstellte Inflation jährlich in Prozent</t>
  </si>
  <si>
    <t>Unterstellter Steuersatz auf Renteneinkünfte in %</t>
  </si>
  <si>
    <t>Inflation</t>
  </si>
  <si>
    <t>Unterstellter Finanzierungszinssatz in %</t>
  </si>
  <si>
    <t>Miete oder Eigenheimfinanzierung (mindestens 350 €, auch bei Mietfreiheit)</t>
  </si>
  <si>
    <t>Bank, Depot, Rückkaufswert, Aktien, Gold, Immobilien etc.</t>
  </si>
  <si>
    <t>Mieteinnahmen kalt aus zu finanzierenden Immobilien (Ansatz 80%)</t>
  </si>
  <si>
    <t>Gewünschte Rentenhöhe zu Rentenbeginn mtl.</t>
  </si>
  <si>
    <t>Aktuelle Einnahmen netto</t>
  </si>
  <si>
    <t>Aktuelle Mieteinnahmen kalt</t>
  </si>
  <si>
    <t>Aktuelles Nettoeinkommen</t>
  </si>
  <si>
    <t>Zu erwartende sonstige Vorsorgen zu Rentenbeginn mtl.</t>
  </si>
  <si>
    <t xml:space="preserve">Laufzeit: </t>
  </si>
  <si>
    <t>Investition</t>
  </si>
  <si>
    <t>Haus- und Mietverwaltung</t>
  </si>
  <si>
    <t>Eigenaufwand zu Beginn:</t>
  </si>
  <si>
    <t>Unverbindliche Beispielberechnung</t>
  </si>
  <si>
    <t>weiter Bilanz</t>
  </si>
  <si>
    <t>weiter Bilanz Diagramm</t>
  </si>
  <si>
    <t>oder</t>
  </si>
  <si>
    <t>Steuerlast</t>
  </si>
  <si>
    <t>Unterstellter Steuersatz auf gesetzliche Renteneinkünfte in %</t>
  </si>
  <si>
    <t>Finanzierungsumme</t>
  </si>
  <si>
    <t>Spalte310</t>
  </si>
  <si>
    <t>Mietein-nahmen kumuliert</t>
  </si>
  <si>
    <t>Maximale monatliche Zuzahlung</t>
  </si>
  <si>
    <t>Alterskategorie</t>
  </si>
  <si>
    <t>Mieteinnahmen</t>
  </si>
  <si>
    <t>Diagramme</t>
  </si>
  <si>
    <t>Anlagehorizont (Maximal 50 Jahre)</t>
  </si>
  <si>
    <t>Entwicklung des Investments</t>
  </si>
  <si>
    <t>Abzüglich eingesetztes Eigenkapital</t>
  </si>
  <si>
    <t>Grenzsteuersatz</t>
  </si>
  <si>
    <t>Grenzsteuersatz ledig</t>
  </si>
  <si>
    <t>Grenzsteuersatz verheiratet</t>
  </si>
  <si>
    <t xml:space="preserve"> 0-12.000 €</t>
  </si>
  <si>
    <t>Anfangskapital</t>
  </si>
  <si>
    <t>Ergebnis</t>
  </si>
  <si>
    <t>EUR</t>
  </si>
  <si>
    <t>Anzahl Raten pro Jahr</t>
  </si>
  <si>
    <t>p.a.</t>
  </si>
  <si>
    <t>Ansparzeit</t>
  </si>
  <si>
    <t>Einzahlungen</t>
  </si>
  <si>
    <t>Steuerfreibetrag pro Jahr</t>
  </si>
  <si>
    <t>Guthabenentwicklung</t>
  </si>
  <si>
    <t>Steuersatz Kapitalerträge</t>
  </si>
  <si>
    <t>Freibetrag Kapitalerträge ledig pro Jahr</t>
  </si>
  <si>
    <t>Freibetrag Kapitalerträge verheiratet pro Jahr</t>
  </si>
  <si>
    <t>Guthaben nach Steuern</t>
  </si>
  <si>
    <t>Guthaben am Ende nach Steuern</t>
  </si>
  <si>
    <t>Guthaben am Ende vor Steuern</t>
  </si>
  <si>
    <t>Monatsrate</t>
  </si>
  <si>
    <t>Hilfsfeld Monatsrate</t>
  </si>
  <si>
    <t>Guthaben</t>
  </si>
  <si>
    <t>Guthaben inkl. Zinsen</t>
  </si>
  <si>
    <t>Guthaben am Anfang</t>
  </si>
  <si>
    <t>Die grauen Felder ausfüllen</t>
  </si>
  <si>
    <t>Ledig</t>
  </si>
  <si>
    <r>
      <t xml:space="preserve">Abschreibung in % </t>
    </r>
    <r>
      <rPr>
        <sz val="8"/>
        <color theme="4" tint="-0.499984740745262"/>
        <rFont val="Arial"/>
        <family val="2"/>
      </rPr>
      <t>(Baujahr bis 1924 = 2,5%, nach 1924 = 2,0%)</t>
    </r>
  </si>
  <si>
    <t>Sparrate monatlich</t>
  </si>
  <si>
    <t>Zinssatz des Sparplans</t>
  </si>
  <si>
    <t>Version 7.11</t>
  </si>
  <si>
    <t>VIA Vermietete Immobilie als Altersvorsorge GmbH
Rathausplatz 22
22926 Ahrensburg
Telefon: 04102 6648537
E-Mail: office@vermietete-immobilie-als-altersvorsorge.de
Internet: via.immo
© Copyright 2025 - Alle Rechte vorbehalten</t>
  </si>
  <si>
    <t>Vergleich mit einem Sparplan</t>
  </si>
  <si>
    <t>Wie bei der Immobilie</t>
  </si>
  <si>
    <t>Dein Alter liegt zwischen X-Y Jahre</t>
  </si>
  <si>
    <t>Käuferdaten eingeben</t>
  </si>
  <si>
    <t>Auswertungsrechner</t>
  </si>
  <si>
    <t>Maximale Finanzierungshöhe</t>
  </si>
  <si>
    <t>Vergleich mit Sparplan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</si>
</sst>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0\ &quot;€&quot;;\-#,##0\ &quot;€&quot;"/>
    <numFmt numFmtId="8" formatCode="#,##0.00\ &quot;€&quot;;[Red]\-#,##0.00\ &quot;€&quot;"/>
    <numFmt numFmtId="42" formatCode="_-* #,##0\ &quot;€&quot;_-;\-* #,##0\ &quot;€&quot;_-;_-* &quot;-&quot;\ &quot;€&quot;_-;_-@_-"/>
    <numFmt numFmtId="44" formatCode="_-* #,##0.00\ &quot;€&quot;_-;\-* #,##0.00\ &quot;€&quot;_-;_-* &quot;-&quot;??\ &quot;€&quot;_-;_-@_-"/>
    <numFmt numFmtId="43" formatCode="_-* #,##0.00_-;\-* #,##0.00_-;_-* &quot;-&quot;??_-;_-@_-"/>
    <numFmt numFmtId="164" formatCode="#\ ###"/>
    <numFmt numFmtId="165" formatCode="#.00\ ###"/>
    <numFmt numFmtId="166" formatCode="0.000"/>
    <numFmt numFmtId="167" formatCode="_-* #,##0\ &quot;€&quot;_-;\-* #,##0\ &quot;€&quot;_-;_-* &quot;-&quot;??\ &quot;€&quot;_-;_-@_-"/>
    <numFmt numFmtId="168" formatCode="0.0%"/>
    <numFmt numFmtId="169" formatCode="_-* #,##0.00\ [$€-407]_-;\-* #,##0.00\ [$€-407]_-;_-* &quot;-&quot;??\ [$€-407]_-;_-@_-"/>
    <numFmt numFmtId="170" formatCode="_-* #,##0\ [$€-407]_-;\-* #,##0\ [$€-407]_-;_-* &quot;-&quot;??\ [$€-407]_-;_-@_-"/>
    <numFmt numFmtId="171" formatCode="#,##0.00\ &quot;€&quot;"/>
    <numFmt numFmtId="172" formatCode="#,##0\ &quot;€&quot;"/>
    <numFmt numFmtId="173" formatCode="_-* #,##0_-;\-* #,##0_-;_-* &quot;-&quot;??_-;_-@_-"/>
    <numFmt numFmtId="174" formatCode="0.000%"/>
  </numFmts>
  <fonts count="76">
    <font>
      <sz val="10"/>
      <name val="Arial"/>
    </font>
    <font>
      <sz val="10"/>
      <name val="Arial"/>
      <family val="2"/>
    </font>
    <font>
      <b/>
      <sz val="10"/>
      <name val="Arial"/>
      <family val="2"/>
    </font>
    <font>
      <sz val="8"/>
      <color indexed="81"/>
      <name val="Tahoma"/>
      <family val="2"/>
    </font>
    <font>
      <sz val="8"/>
      <color indexed="81"/>
      <name val="Arial"/>
      <family val="2"/>
    </font>
    <font>
      <u/>
      <sz val="10"/>
      <color indexed="12"/>
      <name val="Arial"/>
      <family val="2"/>
    </font>
    <font>
      <sz val="8"/>
      <name val="Arial"/>
      <family val="2"/>
    </font>
    <font>
      <sz val="9"/>
      <name val="Arial"/>
      <family val="2"/>
    </font>
    <font>
      <sz val="10"/>
      <color indexed="15"/>
      <name val="Arial"/>
      <family val="2"/>
    </font>
    <font>
      <sz val="10"/>
      <name val="Arial"/>
      <family val="2"/>
    </font>
    <font>
      <sz val="10"/>
      <name val="Tahoma"/>
      <family val="2"/>
    </font>
    <font>
      <sz val="10"/>
      <color indexed="44"/>
      <name val="Arial"/>
      <family val="2"/>
    </font>
    <font>
      <sz val="10"/>
      <name val="Arial"/>
      <family val="2"/>
    </font>
    <font>
      <sz val="12"/>
      <name val="Arial"/>
      <family val="2"/>
    </font>
    <font>
      <sz val="10"/>
      <color theme="0"/>
      <name val="Arial"/>
      <family val="2"/>
    </font>
    <font>
      <sz val="9"/>
      <color indexed="81"/>
      <name val="Segoe UI"/>
      <family val="2"/>
    </font>
    <font>
      <sz val="11"/>
      <color theme="0"/>
      <name val="Calibri"/>
      <family val="2"/>
      <scheme val="minor"/>
    </font>
    <font>
      <b/>
      <sz val="12"/>
      <color rgb="FFFF6600"/>
      <name val="Arial"/>
      <family val="2"/>
    </font>
    <font>
      <b/>
      <sz val="13.5"/>
      <name val="Arial"/>
      <family val="2"/>
    </font>
    <font>
      <b/>
      <sz val="10"/>
      <color theme="0"/>
      <name val="Arial"/>
      <family val="2"/>
    </font>
    <font>
      <b/>
      <sz val="12"/>
      <color theme="4" tint="-0.499984740745262"/>
      <name val="Arial"/>
      <family val="2"/>
    </font>
    <font>
      <sz val="12"/>
      <color theme="4" tint="-0.499984740745262"/>
      <name val="Arial"/>
      <family val="2"/>
    </font>
    <font>
      <b/>
      <sz val="12"/>
      <color theme="0"/>
      <name val="Arial"/>
      <family val="2"/>
    </font>
    <font>
      <sz val="10"/>
      <color theme="4" tint="-0.499984740745262"/>
      <name val="Arial"/>
      <family val="2"/>
    </font>
    <font>
      <sz val="10"/>
      <name val="Arial"/>
      <family val="2"/>
    </font>
    <font>
      <sz val="11"/>
      <color rgb="FFFF0000"/>
      <name val="Calibri"/>
      <family val="2"/>
      <scheme val="minor"/>
    </font>
    <font>
      <b/>
      <u/>
      <sz val="15"/>
      <color rgb="FF1E5972"/>
      <name val="Calibri"/>
      <family val="2"/>
      <scheme val="minor"/>
    </font>
    <font>
      <i/>
      <sz val="11"/>
      <color theme="1"/>
      <name val="Calibri"/>
      <family val="2"/>
      <scheme val="minor"/>
    </font>
    <font>
      <b/>
      <sz val="12"/>
      <color theme="0"/>
      <name val="Calibri"/>
      <family val="2"/>
      <scheme val="minor"/>
    </font>
    <font>
      <b/>
      <sz val="14"/>
      <color theme="4" tint="-0.499984740745262"/>
      <name val="Arial"/>
      <family val="2"/>
    </font>
    <font>
      <sz val="12"/>
      <color rgb="FFFF6600"/>
      <name val="Arial"/>
      <family val="2"/>
    </font>
    <font>
      <i/>
      <sz val="12"/>
      <color theme="1"/>
      <name val="Arial"/>
      <family val="2"/>
    </font>
    <font>
      <b/>
      <sz val="12"/>
      <name val="Arial"/>
      <family val="2"/>
    </font>
    <font>
      <b/>
      <sz val="11"/>
      <color theme="4" tint="-0.499984740745262"/>
      <name val="Arial"/>
      <family val="2"/>
    </font>
    <font>
      <sz val="11"/>
      <name val="Arial"/>
      <family val="2"/>
    </font>
    <font>
      <sz val="11"/>
      <color theme="0"/>
      <name val="Arial"/>
      <family val="2"/>
    </font>
    <font>
      <sz val="12"/>
      <color theme="1"/>
      <name val="Arial"/>
      <family val="2"/>
    </font>
    <font>
      <sz val="12"/>
      <color theme="0"/>
      <name val="Arial"/>
      <family val="2"/>
    </font>
    <font>
      <b/>
      <sz val="12"/>
      <color theme="0"/>
      <name val="Aril"/>
    </font>
    <font>
      <b/>
      <sz val="12"/>
      <color theme="1"/>
      <name val="Arial"/>
      <family val="2"/>
    </font>
    <font>
      <b/>
      <i/>
      <sz val="12"/>
      <color theme="1"/>
      <name val="Arial"/>
      <family val="2"/>
    </font>
    <font>
      <sz val="8"/>
      <color theme="4" tint="-0.499984740745262"/>
      <name val="Arial"/>
      <family val="2"/>
    </font>
    <font>
      <b/>
      <sz val="11"/>
      <color rgb="FFFA7D00"/>
      <name val="Calibri"/>
      <family val="2"/>
      <scheme val="minor"/>
    </font>
    <font>
      <b/>
      <sz val="10"/>
      <color theme="4" tint="-0.499984740745262"/>
      <name val="Arial"/>
      <family val="2"/>
    </font>
    <font>
      <u/>
      <sz val="10"/>
      <color theme="4" tint="-0.499984740745262"/>
      <name val="Arial"/>
      <family val="2"/>
    </font>
    <font>
      <b/>
      <i/>
      <sz val="12"/>
      <name val="Arial"/>
      <family val="2"/>
    </font>
    <font>
      <sz val="11"/>
      <name val="Calibri"/>
      <family val="2"/>
    </font>
    <font>
      <sz val="10"/>
      <color rgb="FFFF0000"/>
      <name val="Arial"/>
      <family val="2"/>
    </font>
    <font>
      <u/>
      <sz val="10"/>
      <color theme="0"/>
      <name val="Arial"/>
      <family val="2"/>
    </font>
    <font>
      <sz val="8"/>
      <color rgb="FFFF0000"/>
      <name val="Arial"/>
      <family val="2"/>
    </font>
    <font>
      <sz val="10"/>
      <color rgb="FFFF3300"/>
      <name val="Arial"/>
      <family val="2"/>
    </font>
    <font>
      <u/>
      <sz val="10"/>
      <color rgb="FFFF3300"/>
      <name val="Arial"/>
      <family val="2"/>
    </font>
    <font>
      <b/>
      <sz val="10"/>
      <color theme="7"/>
      <name val="Arial"/>
      <family val="2"/>
    </font>
    <font>
      <sz val="10"/>
      <color rgb="FFC00000"/>
      <name val="Arial"/>
      <family val="2"/>
    </font>
    <font>
      <sz val="10"/>
      <color rgb="FFFF3300"/>
      <name val="Arial"/>
      <family val="2"/>
    </font>
    <font>
      <sz val="10"/>
      <color rgb="FFFF0000"/>
      <name val="Arial"/>
      <family val="2"/>
    </font>
    <font>
      <u/>
      <sz val="10"/>
      <color rgb="FFFF0000"/>
      <name val="Arial"/>
      <family val="2"/>
    </font>
    <font>
      <sz val="12"/>
      <color rgb="FFFF0000"/>
      <name val="Arial"/>
      <family val="2"/>
    </font>
    <font>
      <b/>
      <sz val="12"/>
      <color rgb="FFFF0000"/>
      <name val="Arial"/>
      <family val="2"/>
    </font>
    <font>
      <b/>
      <sz val="9"/>
      <color indexed="81"/>
      <name val="Segoe UI"/>
      <family val="2"/>
    </font>
    <font>
      <sz val="10"/>
      <color rgb="FFFFFFFF"/>
      <name val="Arial"/>
      <family val="2"/>
    </font>
    <font>
      <sz val="11"/>
      <color rgb="FFFFFFFF"/>
      <name val="Calibri"/>
      <family val="2"/>
      <scheme val="minor"/>
    </font>
    <font>
      <b/>
      <sz val="11"/>
      <color theme="1"/>
      <name val="Arial Nova"/>
      <family val="2"/>
    </font>
    <font>
      <sz val="11"/>
      <color theme="1"/>
      <name val="Arial Nova"/>
      <family val="2"/>
    </font>
    <font>
      <sz val="11"/>
      <color rgb="FFFF0000"/>
      <name val="Arial Nova"/>
      <family val="2"/>
    </font>
    <font>
      <sz val="8"/>
      <color rgb="FF545D7E"/>
      <name val="Courier New"/>
      <family val="3"/>
    </font>
    <font>
      <sz val="8"/>
      <color rgb="FF000118"/>
      <name val="Nunito Sans"/>
    </font>
    <font>
      <sz val="11"/>
      <color theme="0"/>
      <name val="Arial Nova"/>
      <family val="2"/>
    </font>
    <font>
      <sz val="12"/>
      <color theme="1"/>
      <name val="Arial Nova"/>
      <family val="2"/>
    </font>
    <font>
      <b/>
      <sz val="9"/>
      <color theme="0"/>
      <name val="Arial Nova"/>
      <family val="2"/>
    </font>
    <font>
      <sz val="9"/>
      <color theme="1"/>
      <name val="Arial Nova"/>
      <family val="2"/>
    </font>
    <font>
      <sz val="12"/>
      <color rgb="FFFFFFFF"/>
      <name val="Arial Nova"/>
      <family val="2"/>
    </font>
    <font>
      <sz val="12"/>
      <color theme="4" tint="-0.499984740745262"/>
      <name val="Arial Nova"/>
      <family val="2"/>
    </font>
    <font>
      <sz val="10"/>
      <color theme="4" tint="-0.499984740745262"/>
      <name val="Tahoma"/>
      <family val="2"/>
    </font>
    <font>
      <b/>
      <sz val="10"/>
      <color theme="4" tint="-0.499984740745262"/>
      <name val="Tahoma"/>
      <family val="2"/>
    </font>
    <font>
      <sz val="12"/>
      <color theme="4" tint="-0.499984740745262"/>
      <name val="Arial "/>
    </font>
  </fonts>
  <fills count="14">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499984740745262"/>
        <bgColor indexed="64"/>
      </patternFill>
    </fill>
    <fill>
      <patternFill patternType="solid">
        <fgColor theme="6" tint="0.79998168889431442"/>
        <bgColor indexed="64"/>
      </patternFill>
    </fill>
    <fill>
      <patternFill patternType="solid">
        <fgColor rgb="FFF2F2F2"/>
      </patternFill>
    </fill>
    <fill>
      <patternFill patternType="solid">
        <fgColor theme="0" tint="-4.9989318521683403E-2"/>
        <bgColor indexed="64"/>
      </patternFill>
    </fill>
    <fill>
      <patternFill patternType="solid">
        <fgColor rgb="FFF2F2F2"/>
        <bgColor indexed="64"/>
      </patternFill>
    </fill>
    <fill>
      <patternFill patternType="solid">
        <fgColor theme="5" tint="0.59999389629810485"/>
        <bgColor indexed="64"/>
      </patternFill>
    </fill>
    <fill>
      <patternFill patternType="solid">
        <fgColor theme="2"/>
        <bgColor indexed="64"/>
      </patternFill>
    </fill>
  </fills>
  <borders count="112">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rgb="FFFF6600"/>
      </bottom>
      <diagonal/>
    </border>
    <border>
      <left style="thin">
        <color rgb="FFFF6600"/>
      </left>
      <right/>
      <top style="thin">
        <color rgb="FFFF6600"/>
      </top>
      <bottom/>
      <diagonal/>
    </border>
    <border>
      <left/>
      <right/>
      <top style="thin">
        <color rgb="FFFF6600"/>
      </top>
      <bottom/>
      <diagonal/>
    </border>
    <border>
      <left/>
      <right style="thin">
        <color rgb="FFFF6600"/>
      </right>
      <top style="thin">
        <color rgb="FFFF6600"/>
      </top>
      <bottom/>
      <diagonal/>
    </border>
    <border>
      <left style="thin">
        <color rgb="FFFF6600"/>
      </left>
      <right/>
      <top/>
      <bottom/>
      <diagonal/>
    </border>
    <border>
      <left/>
      <right style="thin">
        <color rgb="FFFF6600"/>
      </right>
      <top/>
      <bottom/>
      <diagonal/>
    </border>
    <border>
      <left style="thin">
        <color rgb="FFFF6600"/>
      </left>
      <right/>
      <top/>
      <bottom style="thin">
        <color rgb="FFFF6600"/>
      </bottom>
      <diagonal/>
    </border>
    <border>
      <left/>
      <right style="thin">
        <color rgb="FFFF6600"/>
      </right>
      <top/>
      <bottom style="thin">
        <color rgb="FFFF6600"/>
      </bottom>
      <diagonal/>
    </border>
    <border>
      <left style="medium">
        <color indexed="64"/>
      </left>
      <right/>
      <top/>
      <bottom/>
      <diagonal/>
    </border>
    <border>
      <left/>
      <right style="medium">
        <color indexed="64"/>
      </right>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style="medium">
        <color theme="4" tint="-0.499984740745262"/>
      </right>
      <top style="medium">
        <color theme="4" tint="-0.499984740745262"/>
      </top>
      <bottom/>
      <diagonal/>
    </border>
    <border>
      <left style="medium">
        <color theme="4" tint="-0.499984740745262"/>
      </left>
      <right/>
      <top style="medium">
        <color theme="4" tint="-0.499984740745262"/>
      </top>
      <bottom style="medium">
        <color theme="4" tint="-0.499984740745262"/>
      </bottom>
      <diagonal/>
    </border>
    <border>
      <left/>
      <right/>
      <top style="medium">
        <color theme="4" tint="-0.499984740745262"/>
      </top>
      <bottom style="medium">
        <color theme="4" tint="-0.499984740745262"/>
      </bottom>
      <diagonal/>
    </border>
    <border>
      <left/>
      <right style="medium">
        <color theme="4" tint="-0.499984740745262"/>
      </right>
      <top style="medium">
        <color theme="4" tint="-0.499984740745262"/>
      </top>
      <bottom style="medium">
        <color theme="4" tint="-0.499984740745262"/>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style="thin">
        <color theme="3" tint="-0.499984740745262"/>
      </right>
      <top/>
      <bottom style="thin">
        <color theme="3" tint="-0.499984740745262"/>
      </bottom>
      <diagonal/>
    </border>
    <border>
      <left style="thin">
        <color theme="3" tint="-0.499984740745262"/>
      </left>
      <right style="thin">
        <color theme="3" tint="-0.499984740745262"/>
      </right>
      <top/>
      <bottom style="thin">
        <color theme="3" tint="-0.499984740745262"/>
      </bottom>
      <diagonal/>
    </border>
    <border>
      <left style="thin">
        <color theme="3" tint="-0.499984740745262"/>
      </left>
      <right/>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style="thin">
        <color theme="3" tint="-0.499984740745262"/>
      </left>
      <right/>
      <top style="thin">
        <color theme="3" tint="-0.499984740745262"/>
      </top>
      <bottom style="thin">
        <color theme="3" tint="-0.499984740745262"/>
      </bottom>
      <diagonal/>
    </border>
    <border>
      <left/>
      <right style="thin">
        <color theme="3" tint="-0.499984740745262"/>
      </right>
      <top style="thin">
        <color theme="3" tint="-0.499984740745262"/>
      </top>
      <bottom/>
      <diagonal/>
    </border>
    <border>
      <left style="thin">
        <color theme="3" tint="-0.499984740745262"/>
      </left>
      <right style="thin">
        <color theme="3" tint="-0.499984740745262"/>
      </right>
      <top style="thin">
        <color theme="3" tint="-0.499984740745262"/>
      </top>
      <bottom/>
      <diagonal/>
    </border>
    <border>
      <left style="thin">
        <color theme="3" tint="-0.499984740745262"/>
      </left>
      <right/>
      <top style="thin">
        <color theme="3" tint="-0.499984740745262"/>
      </top>
      <bottom/>
      <diagonal/>
    </border>
    <border>
      <left style="medium">
        <color theme="3" tint="-0.499984740745262"/>
      </left>
      <right/>
      <top/>
      <bottom style="medium">
        <color theme="3" tint="-0.499984740745262"/>
      </bottom>
      <diagonal/>
    </border>
    <border>
      <left/>
      <right style="medium">
        <color theme="3" tint="-0.499984740745262"/>
      </right>
      <top/>
      <bottom style="medium">
        <color theme="3" tint="-0.499984740745262"/>
      </bottom>
      <diagonal/>
    </border>
    <border>
      <left style="medium">
        <color theme="3" tint="-0.499984740745262"/>
      </left>
      <right/>
      <top style="medium">
        <color theme="3" tint="-0.499984740745262"/>
      </top>
      <bottom/>
      <diagonal/>
    </border>
    <border>
      <left/>
      <right style="medium">
        <color theme="3" tint="-0.499984740745262"/>
      </right>
      <top style="medium">
        <color theme="3" tint="-0.499984740745262"/>
      </top>
      <bottom/>
      <diagonal/>
    </border>
    <border>
      <left style="thin">
        <color indexed="64"/>
      </left>
      <right style="thin">
        <color indexed="64"/>
      </right>
      <top/>
      <bottom/>
      <diagonal/>
    </border>
    <border>
      <left style="thin">
        <color theme="4" tint="-0.499984740745262"/>
      </left>
      <right/>
      <top/>
      <bottom/>
      <diagonal/>
    </border>
    <border>
      <left/>
      <right style="thin">
        <color theme="4" tint="-0.499984740745262"/>
      </right>
      <top/>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style="thin">
        <color indexed="64"/>
      </left>
      <right style="thin">
        <color indexed="64"/>
      </right>
      <top style="thin">
        <color indexed="64"/>
      </top>
      <bottom style="medium">
        <color theme="4" tint="-0.499984740745262"/>
      </bottom>
      <diagonal/>
    </border>
    <border>
      <left style="medium">
        <color theme="4" tint="-0.499984740745262"/>
      </left>
      <right style="thin">
        <color theme="4" tint="-0.499984740745262"/>
      </right>
      <top style="medium">
        <color theme="4" tint="-0.499984740745262"/>
      </top>
      <bottom/>
      <diagonal/>
    </border>
    <border>
      <left style="thin">
        <color theme="4" tint="-0.499984740745262"/>
      </left>
      <right style="thin">
        <color theme="4" tint="-0.499984740745262"/>
      </right>
      <top style="medium">
        <color theme="4" tint="-0.499984740745262"/>
      </top>
      <bottom/>
      <diagonal/>
    </border>
    <border>
      <left style="thin">
        <color theme="4" tint="-0.499984740745262"/>
      </left>
      <right style="medium">
        <color theme="4" tint="-0.499984740745262"/>
      </right>
      <top style="medium">
        <color theme="4" tint="-0.499984740745262"/>
      </top>
      <bottom/>
      <diagonal/>
    </border>
    <border>
      <left style="thin">
        <color theme="4" tint="-0.499984740745262"/>
      </left>
      <right style="thin">
        <color theme="4" tint="-0.499984740745262"/>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4" tint="-0.499984740745262"/>
      </left>
      <right style="thin">
        <color theme="4" tint="-0.499984740745262"/>
      </right>
      <top/>
      <bottom style="thin">
        <color rgb="FFFF6600"/>
      </bottom>
      <diagonal/>
    </border>
    <border>
      <left style="medium">
        <color theme="4" tint="-0.499984740745262"/>
      </left>
      <right/>
      <top style="medium">
        <color indexed="64"/>
      </top>
      <bottom style="medium">
        <color theme="4" tint="-0.499984740745262"/>
      </bottom>
      <diagonal/>
    </border>
    <border>
      <left/>
      <right style="medium">
        <color theme="4" tint="-0.499984740745262"/>
      </right>
      <top style="medium">
        <color indexed="64"/>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indexed="64"/>
      </left>
      <right style="medium">
        <color indexed="64"/>
      </right>
      <top style="medium">
        <color indexed="64"/>
      </top>
      <bottom style="medium">
        <color indexed="64"/>
      </bottom>
      <diagonal/>
    </border>
    <border>
      <left style="medium">
        <color theme="4" tint="-0.499984740745262"/>
      </left>
      <right style="medium">
        <color indexed="64"/>
      </right>
      <top style="medium">
        <color theme="4" tint="-0.499984740745262"/>
      </top>
      <bottom style="medium">
        <color indexed="64"/>
      </bottom>
      <diagonal/>
    </border>
    <border>
      <left style="thin">
        <color theme="0"/>
      </left>
      <right/>
      <top/>
      <bottom style="thin">
        <color theme="0"/>
      </bottom>
      <diagonal/>
    </border>
    <border>
      <left/>
      <right style="thin">
        <color theme="0"/>
      </right>
      <top/>
      <bottom style="thin">
        <color theme="0"/>
      </bottom>
      <diagonal/>
    </border>
    <border>
      <left/>
      <right/>
      <top style="medium">
        <color theme="3" tint="-0.499984740745262"/>
      </top>
      <bottom/>
      <diagonal/>
    </border>
    <border>
      <left style="medium">
        <color theme="3" tint="-0.499984740745262"/>
      </left>
      <right/>
      <top/>
      <bottom/>
      <diagonal/>
    </border>
    <border>
      <left/>
      <right style="medium">
        <color theme="3" tint="-0.499984740745262"/>
      </right>
      <top/>
      <bottom/>
      <diagonal/>
    </border>
    <border>
      <left style="medium">
        <color theme="3" tint="-0.499984740745262"/>
      </left>
      <right/>
      <top style="medium">
        <color indexed="64"/>
      </top>
      <bottom style="medium">
        <color indexed="64"/>
      </bottom>
      <diagonal/>
    </border>
    <border>
      <left style="medium">
        <color theme="4" tint="-0.499984740745262"/>
      </left>
      <right style="medium">
        <color theme="3" tint="-0.499984740745262"/>
      </right>
      <top style="medium">
        <color theme="4" tint="-0.499984740745262"/>
      </top>
      <bottom style="medium">
        <color theme="4" tint="-0.499984740745262"/>
      </bottom>
      <diagonal/>
    </border>
    <border>
      <left/>
      <right/>
      <top/>
      <bottom style="medium">
        <color theme="3" tint="-0.499984740745262"/>
      </bottom>
      <diagonal/>
    </border>
    <border>
      <left style="medium">
        <color theme="3" tint="-0.499984740745262"/>
      </left>
      <right/>
      <top style="medium">
        <color theme="3" tint="-0.499984740745262"/>
      </top>
      <bottom style="medium">
        <color theme="3" tint="-0.499984740745262"/>
      </bottom>
      <diagonal/>
    </border>
    <border>
      <left/>
      <right/>
      <top style="medium">
        <color theme="3" tint="-0.499984740745262"/>
      </top>
      <bottom style="medium">
        <color theme="3" tint="-0.499984740745262"/>
      </bottom>
      <diagonal/>
    </border>
    <border>
      <left/>
      <right style="medium">
        <color theme="3" tint="-0.499984740745262"/>
      </right>
      <top style="medium">
        <color theme="3" tint="-0.499984740745262"/>
      </top>
      <bottom style="medium">
        <color theme="3" tint="-0.499984740745262"/>
      </bottom>
      <diagonal/>
    </border>
    <border>
      <left style="medium">
        <color indexed="64"/>
      </left>
      <right/>
      <top style="medium">
        <color theme="4" tint="-0.499984740745262"/>
      </top>
      <bottom/>
      <diagonal/>
    </border>
    <border>
      <left/>
      <right style="medium">
        <color indexed="64"/>
      </right>
      <top style="medium">
        <color theme="4" tint="-0.499984740745262"/>
      </top>
      <bottom/>
      <diagonal/>
    </border>
    <border>
      <left style="medium">
        <color indexed="64"/>
      </left>
      <right/>
      <top style="medium">
        <color indexed="64"/>
      </top>
      <bottom style="medium">
        <color theme="4" tint="-0.499984740745262"/>
      </bottom>
      <diagonal/>
    </border>
    <border>
      <left/>
      <right style="medium">
        <color indexed="64"/>
      </right>
      <top style="medium">
        <color indexed="64"/>
      </top>
      <bottom style="medium">
        <color theme="4" tint="-0.499984740745262"/>
      </bottom>
      <diagonal/>
    </border>
    <border>
      <left style="thin">
        <color theme="4" tint="-0.499984740745262"/>
      </left>
      <right style="medium">
        <color indexed="64"/>
      </right>
      <top/>
      <bottom style="thin">
        <color theme="4" tint="-0.499984740745262"/>
      </bottom>
      <diagonal/>
    </border>
    <border>
      <left style="thin">
        <color theme="4" tint="-0.499984740745262"/>
      </left>
      <right style="medium">
        <color indexed="64"/>
      </right>
      <top style="thin">
        <color theme="4" tint="-0.499984740745262"/>
      </top>
      <bottom style="thin">
        <color theme="4" tint="-0.499984740745262"/>
      </bottom>
      <diagonal/>
    </border>
    <border>
      <left style="thin">
        <color theme="4" tint="-0.499984740745262"/>
      </left>
      <right style="medium">
        <color indexed="64"/>
      </right>
      <top style="thin">
        <color theme="4" tint="-0.499984740745262"/>
      </top>
      <bottom style="medium">
        <color indexed="64"/>
      </bottom>
      <diagonal/>
    </border>
    <border>
      <left style="medium">
        <color indexed="64"/>
      </left>
      <right style="medium">
        <color theme="4" tint="-0.499984740745262"/>
      </right>
      <top style="medium">
        <color indexed="64"/>
      </top>
      <bottom style="medium">
        <color theme="4" tint="-0.499984740745262"/>
      </bottom>
      <diagonal/>
    </border>
    <border>
      <left style="thin">
        <color theme="4" tint="-0.499984740745262"/>
      </left>
      <right style="medium">
        <color indexed="64"/>
      </right>
      <top style="thin">
        <color theme="4" tint="-0.499984740745262"/>
      </top>
      <bottom/>
      <diagonal/>
    </border>
    <border>
      <left style="medium">
        <color theme="4" tint="-0.499984740745262"/>
      </left>
      <right/>
      <top/>
      <bottom style="medium">
        <color indexed="64"/>
      </bottom>
      <diagonal/>
    </border>
    <border>
      <left/>
      <right style="medium">
        <color theme="4" tint="-0.499984740745262"/>
      </right>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bottom/>
      <diagonal/>
    </border>
    <border>
      <left style="thin">
        <color rgb="FFFFFFFF"/>
      </left>
      <right style="thin">
        <color rgb="FFFFFFFF"/>
      </right>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5" fillId="0" borderId="0" applyNumberFormat="0" applyFill="0" applyBorder="0" applyAlignment="0" applyProtection="0">
      <alignment vertical="top"/>
      <protection locked="0"/>
    </xf>
    <xf numFmtId="44" fontId="12" fillId="0" borderId="0" applyFont="0" applyFill="0" applyBorder="0" applyAlignment="0" applyProtection="0"/>
    <xf numFmtId="9" fontId="12"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24" fillId="0" borderId="0" applyFont="0" applyFill="0" applyBorder="0" applyAlignment="0" applyProtection="0"/>
    <xf numFmtId="0" fontId="42" fillId="9" borderId="49" applyNumberFormat="0" applyAlignment="0" applyProtection="0"/>
  </cellStyleXfs>
  <cellXfs count="597">
    <xf numFmtId="0" fontId="0" fillId="0" borderId="0" xfId="0"/>
    <xf numFmtId="0" fontId="9" fillId="0" borderId="0" xfId="0" applyFont="1"/>
    <xf numFmtId="0" fontId="9" fillId="3" borderId="0" xfId="0" applyFont="1" applyFill="1"/>
    <xf numFmtId="0" fontId="6" fillId="0" borderId="0" xfId="0" applyFont="1" applyProtection="1">
      <protection hidden="1"/>
    </xf>
    <xf numFmtId="0" fontId="9" fillId="0" borderId="0" xfId="0" applyFont="1" applyAlignment="1">
      <alignment vertical="center"/>
    </xf>
    <xf numFmtId="0" fontId="0" fillId="0" borderId="0" xfId="0" applyProtection="1">
      <protection hidden="1"/>
    </xf>
    <xf numFmtId="0" fontId="17" fillId="4" borderId="0" xfId="0" applyFont="1" applyFill="1" applyProtection="1">
      <protection hidden="1"/>
    </xf>
    <xf numFmtId="0" fontId="13" fillId="4" borderId="0" xfId="0" applyFont="1" applyFill="1" applyProtection="1">
      <protection hidden="1"/>
    </xf>
    <xf numFmtId="0" fontId="6" fillId="5" borderId="0" xfId="0" applyFont="1" applyFill="1" applyProtection="1">
      <protection hidden="1"/>
    </xf>
    <xf numFmtId="0" fontId="21" fillId="0" borderId="0" xfId="0" applyFont="1"/>
    <xf numFmtId="0" fontId="26" fillId="0" borderId="0" xfId="0" applyFont="1"/>
    <xf numFmtId="0" fontId="27" fillId="0" borderId="0" xfId="0" applyFont="1"/>
    <xf numFmtId="166" fontId="0" fillId="0" borderId="3" xfId="0" applyNumberFormat="1" applyBorder="1" applyAlignment="1">
      <alignment horizontal="center"/>
    </xf>
    <xf numFmtId="166" fontId="0" fillId="5" borderId="3" xfId="0" applyNumberFormat="1" applyFill="1" applyBorder="1" applyAlignment="1">
      <alignment horizontal="center"/>
    </xf>
    <xf numFmtId="0" fontId="25" fillId="0" borderId="0" xfId="0" applyFont="1"/>
    <xf numFmtId="0" fontId="22" fillId="7" borderId="14" xfId="0" applyFont="1" applyFill="1" applyBorder="1"/>
    <xf numFmtId="0" fontId="22" fillId="7" borderId="15" xfId="0" applyFont="1" applyFill="1" applyBorder="1"/>
    <xf numFmtId="0" fontId="22" fillId="7" borderId="22" xfId="0" applyFont="1" applyFill="1" applyBorder="1"/>
    <xf numFmtId="167" fontId="21" fillId="4" borderId="0" xfId="2" applyNumberFormat="1" applyFont="1" applyFill="1" applyBorder="1"/>
    <xf numFmtId="0" fontId="22" fillId="7" borderId="28" xfId="0" applyFont="1" applyFill="1" applyBorder="1" applyProtection="1">
      <protection hidden="1"/>
    </xf>
    <xf numFmtId="0" fontId="22" fillId="7" borderId="29" xfId="0" applyFont="1" applyFill="1" applyBorder="1" applyProtection="1">
      <protection hidden="1"/>
    </xf>
    <xf numFmtId="0" fontId="22" fillId="7" borderId="30" xfId="0" applyFont="1" applyFill="1" applyBorder="1" applyProtection="1">
      <protection hidden="1"/>
    </xf>
    <xf numFmtId="0" fontId="38" fillId="7" borderId="3" xfId="0" applyFont="1" applyFill="1" applyBorder="1"/>
    <xf numFmtId="0" fontId="38" fillId="7" borderId="40" xfId="0" applyFont="1" applyFill="1" applyBorder="1"/>
    <xf numFmtId="0" fontId="1" fillId="3" borderId="0" xfId="0" applyFont="1" applyFill="1"/>
    <xf numFmtId="3" fontId="10" fillId="0" borderId="0" xfId="0" applyNumberFormat="1" applyFont="1" applyProtection="1">
      <protection hidden="1"/>
    </xf>
    <xf numFmtId="0" fontId="9" fillId="3" borderId="17" xfId="0" applyFont="1" applyFill="1" applyBorder="1"/>
    <xf numFmtId="0" fontId="1" fillId="3" borderId="17" xfId="0" applyFont="1" applyFill="1" applyBorder="1"/>
    <xf numFmtId="0" fontId="9" fillId="3" borderId="19" xfId="0" applyFont="1" applyFill="1" applyBorder="1"/>
    <xf numFmtId="0" fontId="9" fillId="3" borderId="20" xfId="0" applyFont="1" applyFill="1" applyBorder="1"/>
    <xf numFmtId="0" fontId="9" fillId="4" borderId="17" xfId="0" applyFont="1" applyFill="1" applyBorder="1"/>
    <xf numFmtId="0" fontId="37" fillId="7" borderId="15" xfId="0" applyFont="1" applyFill="1" applyBorder="1"/>
    <xf numFmtId="0" fontId="37" fillId="7" borderId="21" xfId="0" applyFont="1" applyFill="1" applyBorder="1"/>
    <xf numFmtId="0" fontId="22" fillId="7" borderId="21" xfId="0" applyFont="1" applyFill="1" applyBorder="1"/>
    <xf numFmtId="0" fontId="6" fillId="0" borderId="42" xfId="0" applyFont="1" applyBorder="1" applyProtection="1">
      <protection hidden="1"/>
    </xf>
    <xf numFmtId="0" fontId="6" fillId="0" borderId="48" xfId="0" applyFont="1" applyBorder="1" applyProtection="1">
      <protection hidden="1"/>
    </xf>
    <xf numFmtId="164" fontId="6" fillId="0" borderId="48" xfId="0" applyNumberFormat="1" applyFont="1" applyBorder="1" applyProtection="1">
      <protection hidden="1"/>
    </xf>
    <xf numFmtId="164" fontId="6" fillId="0" borderId="41" xfId="0" applyNumberFormat="1" applyFont="1" applyBorder="1" applyProtection="1">
      <protection hidden="1"/>
    </xf>
    <xf numFmtId="0" fontId="41" fillId="0" borderId="45" xfId="0" applyFont="1" applyBorder="1" applyAlignment="1" applyProtection="1">
      <alignment vertical="top" wrapText="1"/>
      <protection hidden="1"/>
    </xf>
    <xf numFmtId="0" fontId="41" fillId="0" borderId="46" xfId="0" applyFont="1" applyBorder="1" applyAlignment="1" applyProtection="1">
      <alignment vertical="top" wrapText="1"/>
      <protection hidden="1"/>
    </xf>
    <xf numFmtId="0" fontId="41" fillId="0" borderId="47" xfId="0" applyFont="1" applyBorder="1" applyAlignment="1" applyProtection="1">
      <alignment vertical="top" wrapText="1"/>
      <protection hidden="1"/>
    </xf>
    <xf numFmtId="0" fontId="5" fillId="0" borderId="0" xfId="1" applyAlignment="1" applyProtection="1"/>
    <xf numFmtId="0" fontId="5" fillId="3" borderId="0" xfId="1" applyFill="1" applyBorder="1" applyAlignment="1" applyProtection="1"/>
    <xf numFmtId="0" fontId="20" fillId="4" borderId="0" xfId="0" applyFont="1" applyFill="1" applyProtection="1">
      <protection hidden="1"/>
    </xf>
    <xf numFmtId="164" fontId="6" fillId="0" borderId="0" xfId="0" applyNumberFormat="1" applyFont="1" applyProtection="1">
      <protection hidden="1"/>
    </xf>
    <xf numFmtId="0" fontId="6" fillId="0" borderId="0" xfId="0" applyFont="1" applyAlignment="1" applyProtection="1">
      <alignment horizontal="right" vertical="center"/>
      <protection hidden="1"/>
    </xf>
    <xf numFmtId="164" fontId="6" fillId="0" borderId="0" xfId="0" applyNumberFormat="1" applyFont="1" applyProtection="1">
      <protection locked="0"/>
    </xf>
    <xf numFmtId="165" fontId="6" fillId="0" borderId="0" xfId="0" applyNumberFormat="1" applyFont="1" applyProtection="1">
      <protection hidden="1"/>
    </xf>
    <xf numFmtId="3" fontId="6" fillId="0" borderId="0" xfId="0" applyNumberFormat="1" applyFont="1" applyProtection="1">
      <protection hidden="1"/>
    </xf>
    <xf numFmtId="1" fontId="6" fillId="0" borderId="0" xfId="0" applyNumberFormat="1" applyFont="1" applyAlignment="1" applyProtection="1">
      <alignment horizontal="right" vertical="center"/>
      <protection hidden="1"/>
    </xf>
    <xf numFmtId="0" fontId="28" fillId="7" borderId="0" xfId="0" applyFont="1" applyFill="1" applyAlignment="1">
      <alignment horizontal="center"/>
    </xf>
    <xf numFmtId="0" fontId="28" fillId="7" borderId="0" xfId="0" applyFont="1" applyFill="1" applyAlignment="1">
      <alignment horizontal="left"/>
    </xf>
    <xf numFmtId="0" fontId="5" fillId="0" borderId="0" xfId="1" quotePrefix="1" applyAlignment="1" applyProtection="1"/>
    <xf numFmtId="0" fontId="22" fillId="7" borderId="50" xfId="0" applyFont="1" applyFill="1" applyBorder="1"/>
    <xf numFmtId="0" fontId="36" fillId="4" borderId="18" xfId="0" applyFont="1" applyFill="1" applyBorder="1"/>
    <xf numFmtId="0" fontId="5" fillId="0" borderId="0" xfId="1" quotePrefix="1" applyAlignment="1" applyProtection="1">
      <alignment horizontal="center"/>
      <protection hidden="1"/>
    </xf>
    <xf numFmtId="0" fontId="22" fillId="7" borderId="52" xfId="0" applyFont="1" applyFill="1" applyBorder="1"/>
    <xf numFmtId="0" fontId="22" fillId="7" borderId="51" xfId="0" applyFont="1" applyFill="1" applyBorder="1"/>
    <xf numFmtId="164" fontId="6" fillId="0" borderId="53" xfId="0" applyNumberFormat="1" applyFont="1" applyBorder="1" applyProtection="1">
      <protection hidden="1"/>
    </xf>
    <xf numFmtId="0" fontId="22" fillId="7" borderId="22" xfId="0" applyFont="1" applyFill="1" applyBorder="1" applyProtection="1">
      <protection hidden="1"/>
    </xf>
    <xf numFmtId="0" fontId="22" fillId="7" borderId="22" xfId="0" applyFont="1" applyFill="1" applyBorder="1" applyAlignment="1" applyProtection="1">
      <alignment horizontal="left"/>
      <protection hidden="1"/>
    </xf>
    <xf numFmtId="0" fontId="22" fillId="7" borderId="23" xfId="0" applyFont="1" applyFill="1" applyBorder="1" applyAlignment="1" applyProtection="1">
      <alignment horizontal="right"/>
      <protection hidden="1"/>
    </xf>
    <xf numFmtId="0" fontId="22" fillId="7" borderId="24" xfId="0" applyFont="1" applyFill="1" applyBorder="1" applyAlignment="1" applyProtection="1">
      <alignment horizontal="right"/>
      <protection hidden="1"/>
    </xf>
    <xf numFmtId="0" fontId="20" fillId="6" borderId="50" xfId="0" applyFont="1" applyFill="1" applyBorder="1" applyAlignment="1" applyProtection="1">
      <alignment horizontal="left"/>
      <protection hidden="1"/>
    </xf>
    <xf numFmtId="0" fontId="20" fillId="6" borderId="52" xfId="0" applyFont="1" applyFill="1" applyBorder="1" applyAlignment="1" applyProtection="1">
      <alignment horizontal="right"/>
      <protection hidden="1"/>
    </xf>
    <xf numFmtId="44" fontId="20" fillId="6" borderId="52" xfId="2" applyFont="1" applyFill="1" applyBorder="1" applyAlignment="1" applyProtection="1">
      <alignment horizontal="right"/>
      <protection hidden="1"/>
    </xf>
    <xf numFmtId="44" fontId="22" fillId="7" borderId="24" xfId="0" applyNumberFormat="1" applyFont="1" applyFill="1" applyBorder="1" applyProtection="1">
      <protection hidden="1"/>
    </xf>
    <xf numFmtId="0" fontId="20" fillId="6" borderId="54" xfId="0" applyFont="1" applyFill="1" applyBorder="1" applyProtection="1">
      <protection hidden="1"/>
    </xf>
    <xf numFmtId="44" fontId="20" fillId="6" borderId="55" xfId="2" applyFont="1" applyFill="1" applyBorder="1" applyProtection="1">
      <protection hidden="1"/>
    </xf>
    <xf numFmtId="0" fontId="20" fillId="4" borderId="0" xfId="0" applyFont="1" applyFill="1"/>
    <xf numFmtId="0" fontId="30" fillId="0" borderId="0" xfId="0" applyFont="1"/>
    <xf numFmtId="0" fontId="22" fillId="4" borderId="0" xfId="0" applyFont="1" applyFill="1" applyAlignment="1">
      <alignment horizontal="right"/>
    </xf>
    <xf numFmtId="0" fontId="32" fillId="4" borderId="0" xfId="0" applyFont="1" applyFill="1" applyAlignment="1">
      <alignment horizontal="right"/>
    </xf>
    <xf numFmtId="169" fontId="22" fillId="7" borderId="24" xfId="0" applyNumberFormat="1" applyFont="1" applyFill="1" applyBorder="1"/>
    <xf numFmtId="167" fontId="39" fillId="0" borderId="43" xfId="2" applyNumberFormat="1" applyFont="1" applyFill="1" applyBorder="1" applyProtection="1"/>
    <xf numFmtId="44" fontId="13" fillId="4" borderId="23" xfId="2" applyFont="1" applyFill="1" applyBorder="1" applyProtection="1"/>
    <xf numFmtId="0" fontId="22" fillId="7" borderId="22" xfId="0" applyFont="1" applyFill="1" applyBorder="1" applyAlignment="1">
      <alignment horizontal="left"/>
    </xf>
    <xf numFmtId="42" fontId="20" fillId="6" borderId="23" xfId="2" applyNumberFormat="1" applyFont="1" applyFill="1" applyBorder="1" applyProtection="1"/>
    <xf numFmtId="0" fontId="21" fillId="7" borderId="24" xfId="0" applyFont="1" applyFill="1" applyBorder="1"/>
    <xf numFmtId="0" fontId="1" fillId="0" borderId="0" xfId="0" applyFont="1"/>
    <xf numFmtId="164" fontId="6" fillId="0" borderId="0" xfId="0" applyNumberFormat="1" applyFont="1" applyProtection="1">
      <protection locked="0" hidden="1"/>
    </xf>
    <xf numFmtId="44" fontId="20" fillId="6" borderId="51" xfId="2" applyFont="1" applyFill="1" applyBorder="1" applyAlignment="1" applyProtection="1">
      <alignment horizontal="right"/>
      <protection hidden="1"/>
    </xf>
    <xf numFmtId="0" fontId="19" fillId="7" borderId="23" xfId="0" applyFont="1" applyFill="1" applyBorder="1"/>
    <xf numFmtId="10" fontId="0" fillId="0" borderId="0" xfId="0" applyNumberFormat="1"/>
    <xf numFmtId="9" fontId="13" fillId="4" borderId="17" xfId="0" applyNumberFormat="1" applyFont="1" applyFill="1" applyBorder="1"/>
    <xf numFmtId="0" fontId="22" fillId="4" borderId="0" xfId="0" applyFont="1" applyFill="1"/>
    <xf numFmtId="0" fontId="36" fillId="4" borderId="24" xfId="0" applyFont="1" applyFill="1" applyBorder="1"/>
    <xf numFmtId="0" fontId="47" fillId="0" borderId="0" xfId="0" applyFont="1"/>
    <xf numFmtId="167" fontId="20" fillId="7" borderId="24" xfId="2" applyNumberFormat="1" applyFont="1" applyFill="1" applyBorder="1"/>
    <xf numFmtId="167" fontId="22" fillId="7" borderId="52" xfId="2" applyNumberFormat="1" applyFont="1" applyFill="1" applyBorder="1"/>
    <xf numFmtId="0" fontId="37" fillId="7" borderId="52" xfId="0" applyFont="1" applyFill="1" applyBorder="1"/>
    <xf numFmtId="167" fontId="22" fillId="7" borderId="51" xfId="2" applyNumberFormat="1" applyFont="1" applyFill="1" applyBorder="1"/>
    <xf numFmtId="0" fontId="29" fillId="2" borderId="0" xfId="0" applyFont="1" applyFill="1" applyAlignment="1" applyProtection="1">
      <alignment horizontal="left" vertical="top" wrapText="1"/>
      <protection hidden="1"/>
    </xf>
    <xf numFmtId="0" fontId="6" fillId="0" borderId="0" xfId="6" applyNumberFormat="1" applyFont="1" applyProtection="1">
      <protection hidden="1"/>
    </xf>
    <xf numFmtId="0" fontId="14" fillId="4" borderId="0" xfId="0" applyFont="1" applyFill="1"/>
    <xf numFmtId="0" fontId="19" fillId="4" borderId="0" xfId="0" applyFont="1" applyFill="1"/>
    <xf numFmtId="0" fontId="16" fillId="4" borderId="0" xfId="0" applyFont="1" applyFill="1" applyProtection="1">
      <protection hidden="1"/>
    </xf>
    <xf numFmtId="9" fontId="14" fillId="4" borderId="0" xfId="3" applyFont="1" applyFill="1"/>
    <xf numFmtId="10" fontId="14" fillId="4" borderId="0" xfId="3" applyNumberFormat="1" applyFont="1" applyFill="1"/>
    <xf numFmtId="0" fontId="0" fillId="4" borderId="0" xfId="0" applyFill="1"/>
    <xf numFmtId="167" fontId="0" fillId="11" borderId="0" xfId="2" applyNumberFormat="1" applyFont="1" applyFill="1" applyBorder="1" applyAlignment="1">
      <alignment horizontal="right"/>
    </xf>
    <xf numFmtId="167" fontId="0" fillId="11" borderId="0" xfId="2" applyNumberFormat="1" applyFont="1" applyFill="1" applyBorder="1" applyAlignment="1">
      <alignment horizontal="left"/>
    </xf>
    <xf numFmtId="167" fontId="0" fillId="11" borderId="0" xfId="2" applyNumberFormat="1" applyFont="1" applyFill="1" applyBorder="1"/>
    <xf numFmtId="0" fontId="0" fillId="4" borderId="61" xfId="0" applyFill="1" applyBorder="1"/>
    <xf numFmtId="0" fontId="0" fillId="4" borderId="63" xfId="0" applyFill="1" applyBorder="1"/>
    <xf numFmtId="0" fontId="0" fillId="4" borderId="64" xfId="0" applyFill="1" applyBorder="1"/>
    <xf numFmtId="0" fontId="0" fillId="4" borderId="65" xfId="0" applyFill="1" applyBorder="1"/>
    <xf numFmtId="0" fontId="34" fillId="4" borderId="0" xfId="0" applyFont="1" applyFill="1"/>
    <xf numFmtId="0" fontId="33" fillId="4" borderId="0" xfId="0" applyFont="1" applyFill="1" applyAlignment="1">
      <alignment horizontal="right"/>
    </xf>
    <xf numFmtId="0" fontId="33" fillId="4" borderId="0" xfId="0" applyFont="1" applyFill="1" applyAlignment="1">
      <alignment horizontal="left"/>
    </xf>
    <xf numFmtId="0" fontId="35" fillId="4" borderId="0" xfId="0" applyFont="1" applyFill="1"/>
    <xf numFmtId="0" fontId="5" fillId="4" borderId="0" xfId="1" applyFill="1" applyAlignment="1" applyProtection="1"/>
    <xf numFmtId="0" fontId="5" fillId="4" borderId="0" xfId="1" quotePrefix="1" applyFill="1" applyAlignment="1" applyProtection="1">
      <alignment horizontal="right"/>
    </xf>
    <xf numFmtId="0" fontId="29" fillId="4" borderId="0" xfId="0" applyFont="1" applyFill="1" applyAlignment="1" applyProtection="1">
      <alignment horizontal="left" vertical="top" wrapText="1"/>
      <protection hidden="1"/>
    </xf>
    <xf numFmtId="0" fontId="6" fillId="4" borderId="0" xfId="0" applyFont="1" applyFill="1" applyAlignment="1" applyProtection="1">
      <alignment horizontal="right" vertical="top" wrapText="1"/>
      <protection hidden="1"/>
    </xf>
    <xf numFmtId="0" fontId="1" fillId="4" borderId="0" xfId="0" applyFont="1" applyFill="1"/>
    <xf numFmtId="0" fontId="23" fillId="4" borderId="0" xfId="0" applyFont="1" applyFill="1"/>
    <xf numFmtId="0" fontId="36" fillId="4" borderId="14" xfId="0" applyFont="1" applyFill="1" applyBorder="1"/>
    <xf numFmtId="0" fontId="36" fillId="4" borderId="16" xfId="0" applyFont="1" applyFill="1" applyBorder="1"/>
    <xf numFmtId="0" fontId="36" fillId="4" borderId="0" xfId="0" applyFont="1" applyFill="1"/>
    <xf numFmtId="0" fontId="36" fillId="4" borderId="22" xfId="0" applyFont="1" applyFill="1" applyBorder="1"/>
    <xf numFmtId="0" fontId="36" fillId="4" borderId="21" xfId="0" applyFont="1" applyFill="1" applyBorder="1"/>
    <xf numFmtId="0" fontId="36" fillId="4" borderId="17" xfId="0" applyFont="1" applyFill="1" applyBorder="1"/>
    <xf numFmtId="0" fontId="36" fillId="4" borderId="20" xfId="0" applyFont="1" applyFill="1" applyBorder="1"/>
    <xf numFmtId="0" fontId="13" fillId="4" borderId="0" xfId="0" applyFont="1" applyFill="1"/>
    <xf numFmtId="0" fontId="5" fillId="4" borderId="0" xfId="1" applyFill="1" applyAlignment="1" applyProtection="1">
      <alignment horizontal="right"/>
    </xf>
    <xf numFmtId="0" fontId="47" fillId="4" borderId="0" xfId="0" applyFont="1" applyFill="1"/>
    <xf numFmtId="0" fontId="44" fillId="4" borderId="0" xfId="1" quotePrefix="1" applyFont="1" applyFill="1" applyAlignment="1" applyProtection="1"/>
    <xf numFmtId="0" fontId="44" fillId="4" borderId="0" xfId="1" applyFont="1" applyFill="1" applyAlignment="1" applyProtection="1"/>
    <xf numFmtId="167" fontId="14" fillId="4" borderId="0" xfId="0" applyNumberFormat="1" applyFont="1" applyFill="1"/>
    <xf numFmtId="0" fontId="43" fillId="12" borderId="0" xfId="0" applyFont="1" applyFill="1"/>
    <xf numFmtId="0" fontId="5" fillId="4" borderId="0" xfId="1" quotePrefix="1" applyFill="1" applyAlignment="1" applyProtection="1"/>
    <xf numFmtId="170" fontId="14" fillId="4" borderId="0" xfId="0" applyNumberFormat="1" applyFont="1" applyFill="1"/>
    <xf numFmtId="0" fontId="21" fillId="4" borderId="0" xfId="0" applyFont="1" applyFill="1"/>
    <xf numFmtId="0" fontId="30" fillId="4" borderId="0" xfId="0" applyFont="1" applyFill="1"/>
    <xf numFmtId="0" fontId="13" fillId="4" borderId="38" xfId="0" applyFont="1" applyFill="1" applyBorder="1"/>
    <xf numFmtId="169" fontId="13" fillId="4" borderId="39" xfId="0" applyNumberFormat="1" applyFont="1" applyFill="1" applyBorder="1"/>
    <xf numFmtId="0" fontId="13" fillId="4" borderId="14" xfId="0" applyFont="1" applyFill="1" applyBorder="1"/>
    <xf numFmtId="169" fontId="13" fillId="4" borderId="21" xfId="0" applyNumberFormat="1" applyFont="1" applyFill="1" applyBorder="1"/>
    <xf numFmtId="0" fontId="13" fillId="4" borderId="36" xfId="0" applyFont="1" applyFill="1" applyBorder="1"/>
    <xf numFmtId="169" fontId="13" fillId="4" borderId="37" xfId="0" applyNumberFormat="1" applyFont="1" applyFill="1" applyBorder="1"/>
    <xf numFmtId="0" fontId="13" fillId="4" borderId="18" xfId="0" applyFont="1" applyFill="1" applyBorder="1"/>
    <xf numFmtId="169" fontId="13" fillId="4" borderId="20" xfId="0" applyNumberFormat="1" applyFont="1" applyFill="1" applyBorder="1"/>
    <xf numFmtId="0" fontId="31" fillId="4" borderId="0" xfId="0" applyFont="1" applyFill="1" applyAlignment="1">
      <alignment horizontal="right"/>
    </xf>
    <xf numFmtId="0" fontId="13" fillId="4" borderId="16" xfId="0" applyFont="1" applyFill="1" applyBorder="1"/>
    <xf numFmtId="169" fontId="13" fillId="4" borderId="17" xfId="0" applyNumberFormat="1" applyFont="1" applyFill="1" applyBorder="1"/>
    <xf numFmtId="0" fontId="32" fillId="4" borderId="18" xfId="0" applyFont="1" applyFill="1" applyBorder="1"/>
    <xf numFmtId="169" fontId="32" fillId="4" borderId="20" xfId="0" applyNumberFormat="1" applyFont="1" applyFill="1" applyBorder="1"/>
    <xf numFmtId="0" fontId="13" fillId="4" borderId="21" xfId="0" applyFont="1" applyFill="1" applyBorder="1"/>
    <xf numFmtId="0" fontId="13" fillId="4" borderId="17" xfId="0" applyFont="1" applyFill="1" applyBorder="1"/>
    <xf numFmtId="10" fontId="13" fillId="4" borderId="21" xfId="6" applyNumberFormat="1" applyFont="1" applyFill="1" applyBorder="1" applyProtection="1"/>
    <xf numFmtId="0" fontId="13" fillId="4" borderId="22" xfId="0" applyFont="1" applyFill="1" applyBorder="1"/>
    <xf numFmtId="44" fontId="13" fillId="4" borderId="24" xfId="2" applyFont="1" applyFill="1" applyBorder="1" applyProtection="1"/>
    <xf numFmtId="0" fontId="5" fillId="4" borderId="0" xfId="1" quotePrefix="1" applyFill="1" applyAlignment="1" applyProtection="1">
      <alignment horizontal="center"/>
    </xf>
    <xf numFmtId="0" fontId="32" fillId="4" borderId="0" xfId="0" applyFont="1" applyFill="1"/>
    <xf numFmtId="169" fontId="13" fillId="4" borderId="0" xfId="0" applyNumberFormat="1" applyFont="1" applyFill="1"/>
    <xf numFmtId="167" fontId="39" fillId="4" borderId="0" xfId="2" applyNumberFormat="1" applyFont="1" applyFill="1" applyBorder="1" applyProtection="1"/>
    <xf numFmtId="0" fontId="5" fillId="4" borderId="0" xfId="1" applyFill="1" applyBorder="1" applyAlignment="1" applyProtection="1"/>
    <xf numFmtId="0" fontId="5" fillId="4" borderId="0" xfId="1" quotePrefix="1" applyFill="1" applyBorder="1" applyAlignment="1" applyProtection="1">
      <alignment horizontal="center"/>
    </xf>
    <xf numFmtId="0" fontId="5" fillId="4" borderId="0" xfId="1" applyFill="1" applyBorder="1" applyAlignment="1" applyProtection="1">
      <alignment horizontal="right"/>
    </xf>
    <xf numFmtId="0" fontId="25" fillId="4" borderId="0" xfId="0" applyFont="1" applyFill="1"/>
    <xf numFmtId="0" fontId="20" fillId="4" borderId="0" xfId="0" applyFont="1" applyFill="1" applyAlignment="1">
      <alignment horizontal="left"/>
    </xf>
    <xf numFmtId="0" fontId="23" fillId="4" borderId="0" xfId="0" applyFont="1" applyFill="1" applyAlignment="1">
      <alignment vertical="top" wrapText="1"/>
    </xf>
    <xf numFmtId="44" fontId="13" fillId="4" borderId="15" xfId="2" applyFont="1" applyFill="1" applyBorder="1" applyProtection="1"/>
    <xf numFmtId="44" fontId="13" fillId="4" borderId="0" xfId="2" applyFont="1" applyFill="1" applyBorder="1" applyProtection="1"/>
    <xf numFmtId="0" fontId="39" fillId="4" borderId="18" xfId="0" applyFont="1" applyFill="1" applyBorder="1" applyAlignment="1">
      <alignment horizontal="left"/>
    </xf>
    <xf numFmtId="0" fontId="31" fillId="4" borderId="19" xfId="0" applyFont="1" applyFill="1" applyBorder="1"/>
    <xf numFmtId="167" fontId="39" fillId="4" borderId="20" xfId="2" applyNumberFormat="1" applyFont="1" applyFill="1" applyBorder="1" applyProtection="1"/>
    <xf numFmtId="0" fontId="32" fillId="4" borderId="22" xfId="0" applyFont="1" applyFill="1" applyBorder="1"/>
    <xf numFmtId="167" fontId="32" fillId="4" borderId="24" xfId="2" applyNumberFormat="1" applyFont="1" applyFill="1" applyBorder="1" applyProtection="1"/>
    <xf numFmtId="0" fontId="13" fillId="4" borderId="15" xfId="0" applyFont="1" applyFill="1" applyBorder="1"/>
    <xf numFmtId="44" fontId="39" fillId="4" borderId="20" xfId="2" applyFont="1" applyFill="1" applyBorder="1" applyProtection="1"/>
    <xf numFmtId="0" fontId="13" fillId="4" borderId="24" xfId="0" applyFont="1" applyFill="1" applyBorder="1"/>
    <xf numFmtId="0" fontId="39" fillId="4" borderId="22" xfId="0" applyFont="1" applyFill="1" applyBorder="1" applyAlignment="1">
      <alignment horizontal="left"/>
    </xf>
    <xf numFmtId="0" fontId="31" fillId="4" borderId="23" xfId="0" applyFont="1" applyFill="1" applyBorder="1"/>
    <xf numFmtId="44" fontId="39" fillId="4" borderId="24" xfId="2" applyFont="1" applyFill="1" applyBorder="1" applyProtection="1"/>
    <xf numFmtId="44" fontId="40" fillId="4" borderId="0" xfId="2" applyFont="1" applyFill="1" applyBorder="1" applyProtection="1"/>
    <xf numFmtId="0" fontId="36" fillId="4" borderId="22" xfId="0" applyFont="1" applyFill="1" applyBorder="1" applyAlignment="1">
      <alignment horizontal="left"/>
    </xf>
    <xf numFmtId="0" fontId="13" fillId="4" borderId="23" xfId="0" applyFont="1" applyFill="1" applyBorder="1" applyAlignment="1">
      <alignment horizontal="right"/>
    </xf>
    <xf numFmtId="44" fontId="40" fillId="4" borderId="24" xfId="2" applyFont="1" applyFill="1" applyBorder="1" applyProtection="1"/>
    <xf numFmtId="0" fontId="9" fillId="4" borderId="0" xfId="0" applyFont="1" applyFill="1"/>
    <xf numFmtId="2" fontId="5" fillId="4" borderId="0" xfId="1" applyNumberFormat="1" applyFill="1" applyBorder="1" applyAlignment="1" applyProtection="1">
      <alignment horizontal="right"/>
    </xf>
    <xf numFmtId="2" fontId="9" fillId="4" borderId="0" xfId="0" applyNumberFormat="1" applyFont="1" applyFill="1"/>
    <xf numFmtId="0" fontId="9" fillId="4" borderId="0" xfId="0" applyFont="1" applyFill="1" applyAlignment="1">
      <alignment vertical="center"/>
    </xf>
    <xf numFmtId="0" fontId="8" fillId="4" borderId="0" xfId="1" applyFont="1" applyFill="1" applyBorder="1" applyAlignment="1" applyProtection="1">
      <alignment horizontal="right" vertical="center" indent="2"/>
      <protection hidden="1"/>
    </xf>
    <xf numFmtId="0" fontId="43" fillId="4" borderId="0" xfId="0" applyFont="1" applyFill="1" applyAlignment="1">
      <alignment horizontal="right"/>
    </xf>
    <xf numFmtId="0" fontId="11" fillId="4" borderId="0" xfId="0" applyFont="1" applyFill="1"/>
    <xf numFmtId="4" fontId="9" fillId="4" borderId="0" xfId="0" applyNumberFormat="1" applyFont="1" applyFill="1"/>
    <xf numFmtId="0" fontId="20" fillId="4" borderId="0" xfId="0" applyFont="1" applyFill="1" applyAlignment="1">
      <alignment horizontal="right"/>
    </xf>
    <xf numFmtId="167" fontId="20" fillId="4" borderId="0" xfId="2" applyNumberFormat="1" applyFont="1" applyFill="1" applyBorder="1"/>
    <xf numFmtId="167" fontId="20" fillId="4" borderId="0" xfId="2" applyNumberFormat="1" applyFont="1" applyFill="1" applyBorder="1" applyAlignment="1">
      <alignment horizontal="left"/>
    </xf>
    <xf numFmtId="0" fontId="6" fillId="4" borderId="0" xfId="0" applyFont="1" applyFill="1" applyProtection="1">
      <protection hidden="1"/>
    </xf>
    <xf numFmtId="0" fontId="6" fillId="4" borderId="0" xfId="0" applyFont="1" applyFill="1" applyAlignment="1" applyProtection="1">
      <alignment vertical="top" wrapText="1"/>
      <protection hidden="1"/>
    </xf>
    <xf numFmtId="0" fontId="5" fillId="4" borderId="0" xfId="1" quotePrefix="1" applyFill="1" applyAlignment="1" applyProtection="1">
      <alignment horizontal="center"/>
      <protection hidden="1"/>
    </xf>
    <xf numFmtId="0" fontId="5" fillId="4" borderId="0" xfId="1" applyFill="1" applyAlignment="1" applyProtection="1">
      <alignment horizontal="right"/>
      <protection hidden="1"/>
    </xf>
    <xf numFmtId="0" fontId="0" fillId="4" borderId="0" xfId="0" applyFill="1" applyProtection="1">
      <protection hidden="1"/>
    </xf>
    <xf numFmtId="0" fontId="1" fillId="4" borderId="0" xfId="0" applyFont="1" applyFill="1" applyProtection="1">
      <protection hidden="1"/>
    </xf>
    <xf numFmtId="0" fontId="13" fillId="4" borderId="16" xfId="0" applyFont="1" applyFill="1" applyBorder="1" applyProtection="1">
      <protection hidden="1"/>
    </xf>
    <xf numFmtId="44" fontId="13" fillId="4" borderId="17" xfId="2" applyFont="1" applyFill="1" applyBorder="1" applyProtection="1">
      <protection hidden="1"/>
    </xf>
    <xf numFmtId="0" fontId="21" fillId="4" borderId="16" xfId="0" applyFont="1" applyFill="1" applyBorder="1" applyProtection="1">
      <protection hidden="1"/>
    </xf>
    <xf numFmtId="44" fontId="21" fillId="4" borderId="17" xfId="2" applyFont="1" applyFill="1" applyBorder="1" applyProtection="1">
      <protection hidden="1"/>
    </xf>
    <xf numFmtId="0" fontId="20" fillId="4" borderId="16" xfId="0" applyFont="1" applyFill="1" applyBorder="1" applyProtection="1">
      <protection hidden="1"/>
    </xf>
    <xf numFmtId="44" fontId="20" fillId="4" borderId="17" xfId="2" applyFont="1" applyFill="1" applyBorder="1" applyProtection="1">
      <protection hidden="1"/>
    </xf>
    <xf numFmtId="0" fontId="13" fillId="4" borderId="17" xfId="0" applyFont="1" applyFill="1" applyBorder="1" applyProtection="1">
      <protection hidden="1"/>
    </xf>
    <xf numFmtId="0" fontId="45" fillId="4" borderId="16" xfId="0" applyFont="1" applyFill="1" applyBorder="1" applyProtection="1">
      <protection hidden="1"/>
    </xf>
    <xf numFmtId="44" fontId="45" fillId="4" borderId="17" xfId="2" applyFont="1" applyFill="1" applyBorder="1" applyProtection="1">
      <protection hidden="1"/>
    </xf>
    <xf numFmtId="0" fontId="32" fillId="4" borderId="16" xfId="0" applyFont="1" applyFill="1" applyBorder="1" applyProtection="1">
      <protection hidden="1"/>
    </xf>
    <xf numFmtId="44" fontId="32" fillId="4" borderId="17" xfId="2" applyFont="1" applyFill="1" applyBorder="1" applyProtection="1">
      <protection hidden="1"/>
    </xf>
    <xf numFmtId="44" fontId="21" fillId="4" borderId="17" xfId="0" applyNumberFormat="1" applyFont="1" applyFill="1" applyBorder="1" applyProtection="1">
      <protection hidden="1"/>
    </xf>
    <xf numFmtId="3" fontId="20" fillId="4" borderId="16" xfId="0" applyNumberFormat="1" applyFont="1" applyFill="1" applyBorder="1" applyProtection="1">
      <protection hidden="1"/>
    </xf>
    <xf numFmtId="44" fontId="20" fillId="4" borderId="17" xfId="0" applyNumberFormat="1" applyFont="1" applyFill="1" applyBorder="1" applyProtection="1">
      <protection hidden="1"/>
    </xf>
    <xf numFmtId="44" fontId="13" fillId="4" borderId="17" xfId="0" applyNumberFormat="1" applyFont="1" applyFill="1" applyBorder="1" applyProtection="1">
      <protection hidden="1"/>
    </xf>
    <xf numFmtId="0" fontId="5" fillId="4" borderId="0" xfId="1" applyFill="1" applyAlignment="1" applyProtection="1">
      <alignment horizontal="left"/>
      <protection hidden="1"/>
    </xf>
    <xf numFmtId="44" fontId="0" fillId="4" borderId="0" xfId="2" applyFont="1" applyFill="1" applyProtection="1">
      <protection hidden="1"/>
    </xf>
    <xf numFmtId="0" fontId="18" fillId="4" borderId="0" xfId="0" applyFont="1" applyFill="1" applyAlignment="1" applyProtection="1">
      <alignment vertical="center"/>
      <protection hidden="1"/>
    </xf>
    <xf numFmtId="0" fontId="1" fillId="4" borderId="0" xfId="0" applyFont="1" applyFill="1" applyAlignment="1" applyProtection="1">
      <alignment vertical="center" wrapText="1"/>
      <protection hidden="1"/>
    </xf>
    <xf numFmtId="0" fontId="0" fillId="4" borderId="0" xfId="0" applyFill="1" applyAlignment="1" applyProtection="1">
      <alignment vertical="center" wrapText="1"/>
      <protection hidden="1"/>
    </xf>
    <xf numFmtId="0" fontId="17" fillId="4" borderId="16" xfId="0" applyFont="1" applyFill="1" applyBorder="1" applyAlignment="1" applyProtection="1">
      <alignment horizontal="left"/>
      <protection hidden="1"/>
    </xf>
    <xf numFmtId="0" fontId="17" fillId="4" borderId="0" xfId="0" applyFont="1" applyFill="1" applyAlignment="1" applyProtection="1">
      <alignment horizontal="left"/>
      <protection hidden="1"/>
    </xf>
    <xf numFmtId="0" fontId="17" fillId="4" borderId="0" xfId="0" applyFont="1" applyFill="1" applyAlignment="1" applyProtection="1">
      <alignment horizontal="right"/>
      <protection hidden="1"/>
    </xf>
    <xf numFmtId="0" fontId="17" fillId="4" borderId="17" xfId="0" applyFont="1" applyFill="1" applyBorder="1" applyAlignment="1" applyProtection="1">
      <alignment horizontal="right"/>
      <protection hidden="1"/>
    </xf>
    <xf numFmtId="0" fontId="21" fillId="4" borderId="0" xfId="0" applyFont="1" applyFill="1" applyProtection="1">
      <protection hidden="1"/>
    </xf>
    <xf numFmtId="44" fontId="21" fillId="4" borderId="0" xfId="2" applyFont="1" applyFill="1" applyBorder="1" applyProtection="1">
      <protection hidden="1"/>
    </xf>
    <xf numFmtId="0" fontId="21" fillId="4" borderId="17" xfId="0" applyFont="1" applyFill="1" applyBorder="1" applyProtection="1">
      <protection hidden="1"/>
    </xf>
    <xf numFmtId="44" fontId="20" fillId="4" borderId="0" xfId="0" applyNumberFormat="1" applyFont="1" applyFill="1" applyProtection="1">
      <protection hidden="1"/>
    </xf>
    <xf numFmtId="0" fontId="17" fillId="4" borderId="16" xfId="0" applyFont="1" applyFill="1" applyBorder="1" applyProtection="1">
      <protection hidden="1"/>
    </xf>
    <xf numFmtId="44" fontId="21" fillId="4" borderId="0" xfId="0" applyNumberFormat="1" applyFont="1" applyFill="1" applyProtection="1">
      <protection hidden="1"/>
    </xf>
    <xf numFmtId="44" fontId="13" fillId="4" borderId="0" xfId="0" applyNumberFormat="1" applyFont="1" applyFill="1" applyProtection="1">
      <protection hidden="1"/>
    </xf>
    <xf numFmtId="44" fontId="13" fillId="4" borderId="0" xfId="2" applyFont="1" applyFill="1" applyBorder="1" applyProtection="1">
      <protection hidden="1"/>
    </xf>
    <xf numFmtId="0" fontId="39" fillId="4" borderId="16" xfId="0" applyFont="1" applyFill="1" applyBorder="1" applyProtection="1">
      <protection hidden="1"/>
    </xf>
    <xf numFmtId="0" fontId="39" fillId="4" borderId="0" xfId="0" applyFont="1" applyFill="1" applyProtection="1">
      <protection hidden="1"/>
    </xf>
    <xf numFmtId="44" fontId="39" fillId="4" borderId="0" xfId="0" applyNumberFormat="1" applyFont="1" applyFill="1" applyProtection="1">
      <protection hidden="1"/>
    </xf>
    <xf numFmtId="10" fontId="21" fillId="4" borderId="0" xfId="3" applyNumberFormat="1" applyFont="1" applyFill="1" applyAlignment="1" applyProtection="1">
      <alignment horizontal="right"/>
      <protection hidden="1"/>
    </xf>
    <xf numFmtId="10" fontId="21" fillId="4" borderId="0" xfId="0" applyNumberFormat="1" applyFont="1" applyFill="1" applyAlignment="1" applyProtection="1">
      <alignment horizontal="right"/>
      <protection hidden="1"/>
    </xf>
    <xf numFmtId="168" fontId="21" fillId="4" borderId="0" xfId="0" applyNumberFormat="1" applyFont="1" applyFill="1" applyAlignment="1" applyProtection="1">
      <alignment horizontal="left"/>
      <protection hidden="1"/>
    </xf>
    <xf numFmtId="168" fontId="20" fillId="4" borderId="0" xfId="0" applyNumberFormat="1" applyFont="1" applyFill="1" applyAlignment="1" applyProtection="1">
      <alignment horizontal="left"/>
      <protection hidden="1"/>
    </xf>
    <xf numFmtId="44" fontId="39" fillId="4" borderId="17" xfId="0" applyNumberFormat="1" applyFont="1" applyFill="1" applyBorder="1" applyProtection="1">
      <protection hidden="1"/>
    </xf>
    <xf numFmtId="10" fontId="33" fillId="4" borderId="0" xfId="3" applyNumberFormat="1" applyFont="1" applyFill="1" applyBorder="1" applyAlignment="1" applyProtection="1">
      <alignment horizontal="left"/>
    </xf>
    <xf numFmtId="167" fontId="36" fillId="4" borderId="0" xfId="2" applyNumberFormat="1" applyFont="1" applyFill="1" applyBorder="1"/>
    <xf numFmtId="0" fontId="36" fillId="4" borderId="13" xfId="0" applyFont="1" applyFill="1" applyBorder="1"/>
    <xf numFmtId="0" fontId="36" fillId="4" borderId="12" xfId="0" applyFont="1" applyFill="1" applyBorder="1"/>
    <xf numFmtId="0" fontId="39" fillId="4" borderId="60" xfId="0" applyFont="1" applyFill="1" applyBorder="1"/>
    <xf numFmtId="0" fontId="36" fillId="4" borderId="61" xfId="0" applyFont="1" applyFill="1" applyBorder="1"/>
    <xf numFmtId="167" fontId="39" fillId="0" borderId="67" xfId="2" applyNumberFormat="1" applyFont="1" applyFill="1" applyBorder="1"/>
    <xf numFmtId="0" fontId="22" fillId="7" borderId="52" xfId="0" applyFont="1" applyFill="1" applyBorder="1" applyAlignment="1">
      <alignment horizontal="right"/>
    </xf>
    <xf numFmtId="0" fontId="22" fillId="7" borderId="51" xfId="0" applyFont="1" applyFill="1" applyBorder="1" applyAlignment="1">
      <alignment horizontal="right"/>
    </xf>
    <xf numFmtId="0" fontId="36" fillId="4" borderId="57" xfId="0" applyFont="1" applyFill="1" applyBorder="1"/>
    <xf numFmtId="0" fontId="36" fillId="4" borderId="58" xfId="0" applyFont="1" applyFill="1" applyBorder="1"/>
    <xf numFmtId="167" fontId="36" fillId="4" borderId="58" xfId="2" applyNumberFormat="1" applyFont="1" applyFill="1" applyBorder="1"/>
    <xf numFmtId="0" fontId="36" fillId="0" borderId="13" xfId="0" applyFont="1" applyBorder="1"/>
    <xf numFmtId="0" fontId="36" fillId="4" borderId="59" xfId="0" applyFont="1" applyFill="1" applyBorder="1"/>
    <xf numFmtId="167" fontId="39" fillId="0" borderId="66" xfId="2" applyNumberFormat="1" applyFont="1" applyFill="1" applyBorder="1"/>
    <xf numFmtId="0" fontId="0" fillId="4" borderId="13" xfId="0" applyFill="1" applyBorder="1"/>
    <xf numFmtId="0" fontId="0" fillId="4" borderId="59" xfId="0" applyFill="1" applyBorder="1"/>
    <xf numFmtId="0" fontId="5" fillId="4" borderId="0" xfId="1" quotePrefix="1" applyFill="1" applyBorder="1" applyAlignment="1" applyProtection="1"/>
    <xf numFmtId="0" fontId="31" fillId="4" borderId="0" xfId="0" applyFont="1" applyFill="1"/>
    <xf numFmtId="0" fontId="40" fillId="4" borderId="0" xfId="0" applyFont="1" applyFill="1" applyAlignment="1">
      <alignment horizontal="right"/>
    </xf>
    <xf numFmtId="0" fontId="25" fillId="4" borderId="0" xfId="0" applyFont="1" applyFill="1" applyProtection="1">
      <protection hidden="1"/>
    </xf>
    <xf numFmtId="0" fontId="49" fillId="4" borderId="0" xfId="0" applyFont="1" applyFill="1" applyProtection="1">
      <protection hidden="1"/>
    </xf>
    <xf numFmtId="0" fontId="50" fillId="4" borderId="0" xfId="0" applyFont="1" applyFill="1"/>
    <xf numFmtId="0" fontId="50" fillId="0" borderId="0" xfId="0" applyFont="1"/>
    <xf numFmtId="0" fontId="48" fillId="4" borderId="0" xfId="1" applyFont="1" applyFill="1" applyAlignment="1" applyProtection="1">
      <alignment horizontal="right"/>
    </xf>
    <xf numFmtId="3" fontId="14" fillId="4" borderId="0" xfId="0" applyNumberFormat="1" applyFont="1" applyFill="1"/>
    <xf numFmtId="0" fontId="14" fillId="0" borderId="0" xfId="0" applyFont="1"/>
    <xf numFmtId="0" fontId="7" fillId="4" borderId="0" xfId="0" applyFont="1" applyFill="1" applyAlignment="1" applyProtection="1">
      <alignment horizontal="center" vertical="center" wrapText="1"/>
      <protection hidden="1"/>
    </xf>
    <xf numFmtId="171" fontId="52" fillId="4" borderId="0" xfId="2" applyNumberFormat="1" applyFont="1" applyFill="1" applyBorder="1" applyAlignment="1" applyProtection="1">
      <alignment horizontal="left"/>
    </xf>
    <xf numFmtId="0" fontId="16" fillId="4" borderId="0" xfId="0" applyFont="1" applyFill="1" applyAlignment="1" applyProtection="1">
      <alignment horizontal="right"/>
      <protection hidden="1"/>
    </xf>
    <xf numFmtId="0" fontId="16" fillId="4" borderId="0" xfId="0" applyFont="1" applyFill="1"/>
    <xf numFmtId="0" fontId="53" fillId="4" borderId="0" xfId="0" applyFont="1" applyFill="1"/>
    <xf numFmtId="10" fontId="1" fillId="4" borderId="0" xfId="0" applyNumberFormat="1" applyFont="1" applyFill="1"/>
    <xf numFmtId="0" fontId="1" fillId="4" borderId="0" xfId="0" applyFont="1" applyFill="1" applyAlignment="1">
      <alignment horizontal="left"/>
    </xf>
    <xf numFmtId="0" fontId="14" fillId="4" borderId="0" xfId="0" applyFont="1" applyFill="1" applyAlignment="1">
      <alignment horizontal="right"/>
    </xf>
    <xf numFmtId="0" fontId="0" fillId="0" borderId="68" xfId="0" applyBorder="1"/>
    <xf numFmtId="0" fontId="0" fillId="4" borderId="69" xfId="0" applyFill="1" applyBorder="1"/>
    <xf numFmtId="0" fontId="22" fillId="7" borderId="73" xfId="0" applyFont="1" applyFill="1" applyBorder="1"/>
    <xf numFmtId="167" fontId="22" fillId="7" borderId="74" xfId="2" applyNumberFormat="1" applyFont="1" applyFill="1" applyBorder="1"/>
    <xf numFmtId="0" fontId="22" fillId="7" borderId="76" xfId="0" applyFont="1" applyFill="1" applyBorder="1"/>
    <xf numFmtId="0" fontId="19" fillId="7" borderId="77" xfId="0" applyFont="1" applyFill="1" applyBorder="1"/>
    <xf numFmtId="167" fontId="20" fillId="7" borderId="78" xfId="2" applyNumberFormat="1" applyFont="1" applyFill="1" applyBorder="1"/>
    <xf numFmtId="10" fontId="14" fillId="4" borderId="0" xfId="5" applyNumberFormat="1" applyFont="1" applyFill="1"/>
    <xf numFmtId="0" fontId="19" fillId="4" borderId="71" xfId="0" applyFont="1" applyFill="1" applyBorder="1"/>
    <xf numFmtId="0" fontId="19" fillId="4" borderId="72" xfId="0" applyFont="1" applyFill="1" applyBorder="1"/>
    <xf numFmtId="0" fontId="36" fillId="4" borderId="50" xfId="0" applyFont="1" applyFill="1" applyBorder="1"/>
    <xf numFmtId="0" fontId="36" fillId="4" borderId="60" xfId="0" applyFont="1" applyFill="1" applyBorder="1"/>
    <xf numFmtId="0" fontId="36" fillId="0" borderId="12" xfId="0" applyFont="1" applyBorder="1"/>
    <xf numFmtId="0" fontId="36" fillId="4" borderId="79" xfId="0" applyFont="1" applyFill="1" applyBorder="1"/>
    <xf numFmtId="49" fontId="36" fillId="4" borderId="0" xfId="2" applyNumberFormat="1" applyFont="1" applyFill="1" applyBorder="1" applyProtection="1"/>
    <xf numFmtId="167" fontId="36" fillId="4" borderId="0" xfId="2" applyNumberFormat="1" applyFont="1" applyFill="1" applyBorder="1" applyProtection="1"/>
    <xf numFmtId="9" fontId="36" fillId="4" borderId="0" xfId="0" applyNumberFormat="1" applyFont="1" applyFill="1"/>
    <xf numFmtId="9" fontId="36" fillId="4" borderId="0" xfId="3" applyFont="1" applyFill="1" applyBorder="1" applyProtection="1"/>
    <xf numFmtId="0" fontId="22" fillId="7" borderId="81" xfId="0" applyFont="1" applyFill="1" applyBorder="1"/>
    <xf numFmtId="0" fontId="37" fillId="7" borderId="82" xfId="0" applyFont="1" applyFill="1" applyBorder="1"/>
    <xf numFmtId="0" fontId="22" fillId="7" borderId="86" xfId="0" applyFont="1" applyFill="1" applyBorder="1"/>
    <xf numFmtId="0" fontId="22" fillId="7" borderId="59" xfId="0" applyFont="1" applyFill="1" applyBorder="1"/>
    <xf numFmtId="0" fontId="28" fillId="7" borderId="0" xfId="7" applyFont="1" applyFill="1" applyBorder="1" applyAlignment="1" applyProtection="1">
      <alignment horizontal="center"/>
    </xf>
    <xf numFmtId="5" fontId="28" fillId="7" borderId="0" xfId="7" applyNumberFormat="1" applyFont="1" applyFill="1" applyBorder="1" applyAlignment="1" applyProtection="1">
      <alignment horizontal="center"/>
    </xf>
    <xf numFmtId="0" fontId="22" fillId="7" borderId="57" xfId="0" applyFont="1" applyFill="1" applyBorder="1"/>
    <xf numFmtId="0" fontId="14" fillId="7" borderId="39" xfId="0" applyFont="1" applyFill="1" applyBorder="1"/>
    <xf numFmtId="0" fontId="53" fillId="0" borderId="0" xfId="0" applyFont="1"/>
    <xf numFmtId="0" fontId="0" fillId="0" borderId="14" xfId="0" applyBorder="1"/>
    <xf numFmtId="0" fontId="0" fillId="0" borderId="15" xfId="0" applyBorder="1"/>
    <xf numFmtId="171" fontId="32" fillId="4" borderId="0" xfId="2" applyNumberFormat="1" applyFont="1" applyFill="1" applyBorder="1"/>
    <xf numFmtId="0" fontId="0" fillId="10" borderId="14" xfId="0" applyFill="1" applyBorder="1"/>
    <xf numFmtId="0" fontId="0" fillId="10" borderId="15" xfId="0" applyFill="1" applyBorder="1"/>
    <xf numFmtId="0" fontId="0" fillId="10" borderId="21" xfId="0" applyFill="1" applyBorder="1"/>
    <xf numFmtId="0" fontId="0" fillId="10" borderId="16" xfId="0" applyFill="1" applyBorder="1"/>
    <xf numFmtId="0" fontId="0" fillId="10" borderId="17" xfId="0" applyFill="1" applyBorder="1"/>
    <xf numFmtId="0" fontId="2" fillId="4" borderId="0" xfId="0" applyFont="1" applyFill="1"/>
    <xf numFmtId="0" fontId="0" fillId="11" borderId="16" xfId="0" applyFill="1" applyBorder="1"/>
    <xf numFmtId="0" fontId="0" fillId="11" borderId="0" xfId="0" applyFill="1"/>
    <xf numFmtId="0" fontId="0" fillId="11" borderId="17" xfId="0" applyFill="1" applyBorder="1"/>
    <xf numFmtId="0" fontId="0" fillId="7" borderId="0" xfId="0" applyFill="1"/>
    <xf numFmtId="0" fontId="14" fillId="7" borderId="0" xfId="0" applyFont="1" applyFill="1"/>
    <xf numFmtId="0" fontId="20" fillId="11" borderId="0" xfId="0" applyFont="1" applyFill="1"/>
    <xf numFmtId="0" fontId="1" fillId="11" borderId="0" xfId="0" applyFont="1" applyFill="1"/>
    <xf numFmtId="0" fontId="1" fillId="11" borderId="0" xfId="0" applyFont="1" applyFill="1" applyAlignment="1">
      <alignment horizontal="right"/>
    </xf>
    <xf numFmtId="0" fontId="0" fillId="11" borderId="18" xfId="0" applyFill="1" applyBorder="1"/>
    <xf numFmtId="0" fontId="0" fillId="11" borderId="19" xfId="0" applyFill="1" applyBorder="1"/>
    <xf numFmtId="0" fontId="0" fillId="11" borderId="20" xfId="0" applyFill="1" applyBorder="1"/>
    <xf numFmtId="0" fontId="0" fillId="4" borderId="15" xfId="0" applyFill="1" applyBorder="1"/>
    <xf numFmtId="0" fontId="0" fillId="4" borderId="21" xfId="0" applyFill="1" applyBorder="1"/>
    <xf numFmtId="0" fontId="2" fillId="4" borderId="16" xfId="0" applyFont="1" applyFill="1" applyBorder="1"/>
    <xf numFmtId="0" fontId="2" fillId="4" borderId="17" xfId="0" applyFont="1" applyFill="1" applyBorder="1"/>
    <xf numFmtId="0" fontId="2" fillId="4" borderId="18" xfId="0" applyFont="1" applyFill="1" applyBorder="1"/>
    <xf numFmtId="0" fontId="2" fillId="4" borderId="19" xfId="0" applyFont="1" applyFill="1" applyBorder="1"/>
    <xf numFmtId="0" fontId="2" fillId="4" borderId="20" xfId="0" applyFont="1" applyFill="1" applyBorder="1"/>
    <xf numFmtId="0" fontId="2" fillId="4" borderId="15" xfId="0" applyFont="1" applyFill="1" applyBorder="1"/>
    <xf numFmtId="0" fontId="2" fillId="4" borderId="21" xfId="0" applyFont="1" applyFill="1" applyBorder="1"/>
    <xf numFmtId="0" fontId="0" fillId="4" borderId="88" xfId="0" applyFill="1" applyBorder="1"/>
    <xf numFmtId="0" fontId="0" fillId="4" borderId="89" xfId="0" applyFill="1" applyBorder="1"/>
    <xf numFmtId="0" fontId="0" fillId="4" borderId="16" xfId="0" applyFill="1" applyBorder="1"/>
    <xf numFmtId="44" fontId="0" fillId="4" borderId="17" xfId="2" applyFont="1" applyFill="1" applyBorder="1"/>
    <xf numFmtId="0" fontId="20" fillId="4" borderId="16" xfId="0" applyFont="1" applyFill="1" applyBorder="1"/>
    <xf numFmtId="171" fontId="32" fillId="4" borderId="17" xfId="2" applyNumberFormat="1" applyFont="1" applyFill="1" applyBorder="1"/>
    <xf numFmtId="0" fontId="0" fillId="4" borderId="18" xfId="0" applyFill="1" applyBorder="1"/>
    <xf numFmtId="0" fontId="0" fillId="4" borderId="19" xfId="0" applyFill="1" applyBorder="1"/>
    <xf numFmtId="0" fontId="0" fillId="4" borderId="20" xfId="0" applyFill="1" applyBorder="1"/>
    <xf numFmtId="172" fontId="32" fillId="4" borderId="17" xfId="2" applyNumberFormat="1" applyFont="1" applyFill="1" applyBorder="1"/>
    <xf numFmtId="2" fontId="0" fillId="4" borderId="0" xfId="0" applyNumberFormat="1" applyFill="1"/>
    <xf numFmtId="0" fontId="32" fillId="4" borderId="16" xfId="0" applyFont="1" applyFill="1" applyBorder="1"/>
    <xf numFmtId="10" fontId="32" fillId="4" borderId="17" xfId="3" applyNumberFormat="1" applyFont="1" applyFill="1" applyBorder="1"/>
    <xf numFmtId="43" fontId="32" fillId="4" borderId="17" xfId="0" applyNumberFormat="1" applyFont="1" applyFill="1" applyBorder="1"/>
    <xf numFmtId="10" fontId="32" fillId="4" borderId="0" xfId="3" applyNumberFormat="1" applyFont="1" applyFill="1" applyBorder="1"/>
    <xf numFmtId="0" fontId="0" fillId="4" borderId="17" xfId="0" applyFill="1" applyBorder="1"/>
    <xf numFmtId="171" fontId="20" fillId="4" borderId="0" xfId="2" applyNumberFormat="1" applyFont="1" applyFill="1" applyBorder="1"/>
    <xf numFmtId="0" fontId="43" fillId="4" borderId="0" xfId="0" applyFont="1" applyFill="1"/>
    <xf numFmtId="171" fontId="20" fillId="4" borderId="17" xfId="2" applyNumberFormat="1" applyFont="1" applyFill="1" applyBorder="1"/>
    <xf numFmtId="172" fontId="33" fillId="4" borderId="0" xfId="2" applyNumberFormat="1" applyFont="1" applyFill="1" applyBorder="1" applyAlignment="1" applyProtection="1">
      <alignment horizontal="left"/>
    </xf>
    <xf numFmtId="0" fontId="6" fillId="4" borderId="0" xfId="0" applyFont="1" applyFill="1" applyAlignment="1">
      <alignment wrapText="1"/>
    </xf>
    <xf numFmtId="0" fontId="1" fillId="0" borderId="0" xfId="0" applyFont="1" applyAlignment="1">
      <alignment wrapText="1"/>
    </xf>
    <xf numFmtId="0" fontId="0" fillId="4" borderId="0" xfId="0" applyFill="1" applyAlignment="1">
      <alignment horizontal="right"/>
    </xf>
    <xf numFmtId="0" fontId="51" fillId="4" borderId="0" xfId="1" quotePrefix="1" applyFont="1" applyFill="1" applyAlignment="1" applyProtection="1">
      <alignment horizontal="right"/>
    </xf>
    <xf numFmtId="1" fontId="14" fillId="0" borderId="0" xfId="0" applyNumberFormat="1" applyFont="1"/>
    <xf numFmtId="9" fontId="14" fillId="0" borderId="0" xfId="3" applyFont="1" applyFill="1"/>
    <xf numFmtId="0" fontId="2" fillId="4" borderId="14" xfId="0" applyFont="1" applyFill="1" applyBorder="1"/>
    <xf numFmtId="0" fontId="54" fillId="0" borderId="0" xfId="0" applyFont="1"/>
    <xf numFmtId="0" fontId="55" fillId="4" borderId="0" xfId="0" applyFont="1" applyFill="1"/>
    <xf numFmtId="0" fontId="56" fillId="4" borderId="0" xfId="1" applyFont="1" applyFill="1" applyAlignment="1" applyProtection="1">
      <alignment horizontal="right"/>
    </xf>
    <xf numFmtId="0" fontId="57" fillId="4" borderId="0" xfId="0" applyFont="1" applyFill="1"/>
    <xf numFmtId="0" fontId="56" fillId="4" borderId="0" xfId="1" applyFont="1" applyFill="1" applyBorder="1" applyAlignment="1" applyProtection="1">
      <alignment horizontal="right"/>
    </xf>
    <xf numFmtId="0" fontId="55" fillId="0" borderId="0" xfId="0" applyFont="1"/>
    <xf numFmtId="0" fontId="14" fillId="4" borderId="91" xfId="0" applyFont="1" applyFill="1" applyBorder="1"/>
    <xf numFmtId="170" fontId="14" fillId="4" borderId="92" xfId="0" applyNumberFormat="1" applyFont="1" applyFill="1" applyBorder="1"/>
    <xf numFmtId="0" fontId="14" fillId="4" borderId="93" xfId="0" applyFont="1" applyFill="1" applyBorder="1"/>
    <xf numFmtId="0" fontId="14" fillId="4" borderId="94" xfId="0" applyFont="1" applyFill="1" applyBorder="1"/>
    <xf numFmtId="44" fontId="14" fillId="4" borderId="69" xfId="0" applyNumberFormat="1" applyFont="1" applyFill="1" applyBorder="1"/>
    <xf numFmtId="0" fontId="14" fillId="4" borderId="90" xfId="0" applyFont="1" applyFill="1" applyBorder="1"/>
    <xf numFmtId="0" fontId="14" fillId="4" borderId="95" xfId="0" applyFont="1" applyFill="1" applyBorder="1"/>
    <xf numFmtId="44" fontId="14" fillId="4" borderId="95" xfId="0" applyNumberFormat="1" applyFont="1" applyFill="1" applyBorder="1"/>
    <xf numFmtId="0" fontId="0" fillId="0" borderId="93" xfId="0" applyBorder="1"/>
    <xf numFmtId="0" fontId="0" fillId="0" borderId="69" xfId="0" applyBorder="1"/>
    <xf numFmtId="0" fontId="0" fillId="0" borderId="95" xfId="0" applyBorder="1"/>
    <xf numFmtId="0" fontId="47" fillId="4" borderId="96" xfId="0" applyFont="1" applyFill="1" applyBorder="1"/>
    <xf numFmtId="0" fontId="0" fillId="4" borderId="96" xfId="0" applyFill="1" applyBorder="1"/>
    <xf numFmtId="0" fontId="47" fillId="4" borderId="95" xfId="0" applyFont="1" applyFill="1" applyBorder="1"/>
    <xf numFmtId="0" fontId="0" fillId="0" borderId="97" xfId="0" applyBorder="1"/>
    <xf numFmtId="0" fontId="0" fillId="0" borderId="90" xfId="0" applyBorder="1"/>
    <xf numFmtId="0" fontId="0" fillId="0" borderId="94" xfId="0" applyBorder="1"/>
    <xf numFmtId="0" fontId="0" fillId="0" borderId="98" xfId="0" applyBorder="1"/>
    <xf numFmtId="0" fontId="47" fillId="4" borderId="93" xfId="0" applyFont="1" applyFill="1" applyBorder="1"/>
    <xf numFmtId="0" fontId="14" fillId="0" borderId="102" xfId="0" applyFont="1" applyBorder="1"/>
    <xf numFmtId="1" fontId="14" fillId="0" borderId="100" xfId="0" applyNumberFormat="1" applyFont="1" applyBorder="1"/>
    <xf numFmtId="1" fontId="14" fillId="0" borderId="99" xfId="0" applyNumberFormat="1" applyFont="1" applyBorder="1"/>
    <xf numFmtId="1" fontId="14" fillId="0" borderId="103" xfId="0" applyNumberFormat="1" applyFont="1" applyBorder="1"/>
    <xf numFmtId="167" fontId="14" fillId="4" borderId="104" xfId="0" applyNumberFormat="1" applyFont="1" applyFill="1" applyBorder="1"/>
    <xf numFmtId="0" fontId="14" fillId="0" borderId="104" xfId="0" applyFont="1" applyBorder="1"/>
    <xf numFmtId="0" fontId="14" fillId="0" borderId="99" xfId="0" applyFont="1" applyBorder="1"/>
    <xf numFmtId="172" fontId="14" fillId="0" borderId="102" xfId="0" applyNumberFormat="1" applyFont="1" applyBorder="1"/>
    <xf numFmtId="0" fontId="14" fillId="0" borderId="103" xfId="0" applyFont="1" applyBorder="1"/>
    <xf numFmtId="0" fontId="14" fillId="0" borderId="105" xfId="0" applyFont="1" applyBorder="1"/>
    <xf numFmtId="0" fontId="14" fillId="4" borderId="105" xfId="0" applyFont="1" applyFill="1" applyBorder="1"/>
    <xf numFmtId="0" fontId="47" fillId="0" borderId="100" xfId="0" applyFont="1" applyBorder="1"/>
    <xf numFmtId="0" fontId="47" fillId="4" borderId="101" xfId="0" applyFont="1" applyFill="1" applyBorder="1"/>
    <xf numFmtId="0" fontId="47" fillId="0" borderId="102" xfId="0" applyFont="1" applyBorder="1"/>
    <xf numFmtId="2" fontId="0" fillId="0" borderId="3" xfId="6" applyNumberFormat="1" applyFont="1" applyBorder="1" applyAlignment="1">
      <alignment horizontal="center"/>
    </xf>
    <xf numFmtId="166" fontId="0" fillId="0" borderId="3" xfId="6" applyNumberFormat="1" applyFont="1" applyBorder="1" applyAlignment="1">
      <alignment horizontal="center"/>
    </xf>
    <xf numFmtId="166" fontId="13" fillId="4" borderId="17" xfId="0" applyNumberFormat="1" applyFont="1" applyFill="1" applyBorder="1"/>
    <xf numFmtId="0" fontId="60" fillId="4" borderId="0" xfId="0" applyFont="1" applyFill="1"/>
    <xf numFmtId="0" fontId="61" fillId="4" borderId="0" xfId="0" applyFont="1" applyFill="1" applyProtection="1">
      <protection hidden="1"/>
    </xf>
    <xf numFmtId="9" fontId="47" fillId="0" borderId="0" xfId="0" applyNumberFormat="1" applyFont="1"/>
    <xf numFmtId="43" fontId="63" fillId="4" borderId="0" xfId="6" applyFont="1" applyFill="1" applyBorder="1"/>
    <xf numFmtId="43" fontId="63" fillId="4" borderId="0" xfId="6" applyFont="1" applyFill="1" applyBorder="1" applyAlignment="1">
      <alignment horizontal="right"/>
    </xf>
    <xf numFmtId="2" fontId="64" fillId="4" borderId="0" xfId="6" applyNumberFormat="1" applyFont="1" applyFill="1" applyBorder="1" applyAlignment="1">
      <alignment horizontal="right"/>
    </xf>
    <xf numFmtId="43" fontId="0" fillId="4" borderId="0" xfId="0" applyNumberFormat="1" applyFill="1"/>
    <xf numFmtId="43" fontId="62" fillId="4" borderId="0" xfId="6" applyFont="1" applyFill="1" applyBorder="1" applyAlignment="1">
      <alignment horizontal="right"/>
    </xf>
    <xf numFmtId="8" fontId="0" fillId="4" borderId="0" xfId="0" applyNumberFormat="1" applyFill="1"/>
    <xf numFmtId="0" fontId="65" fillId="0" borderId="0" xfId="0" applyFont="1"/>
    <xf numFmtId="0" fontId="66" fillId="0" borderId="0" xfId="0" applyFont="1"/>
    <xf numFmtId="43" fontId="67" fillId="4" borderId="0" xfId="6" applyFont="1" applyFill="1" applyBorder="1"/>
    <xf numFmtId="1" fontId="0" fillId="4" borderId="0" xfId="0" applyNumberFormat="1" applyFill="1"/>
    <xf numFmtId="43" fontId="34" fillId="4" borderId="0" xfId="0" applyNumberFormat="1" applyFont="1" applyFill="1"/>
    <xf numFmtId="2" fontId="34" fillId="4" borderId="0" xfId="0" applyNumberFormat="1" applyFont="1" applyFill="1"/>
    <xf numFmtId="173" fontId="63" fillId="4" borderId="0" xfId="6" applyNumberFormat="1" applyFont="1" applyFill="1" applyBorder="1"/>
    <xf numFmtId="43" fontId="68" fillId="7" borderId="58" xfId="6" applyFont="1" applyFill="1" applyBorder="1"/>
    <xf numFmtId="43" fontId="68" fillId="7" borderId="59" xfId="6" applyFont="1" applyFill="1" applyBorder="1"/>
    <xf numFmtId="43" fontId="68" fillId="4" borderId="13" xfId="6" applyFont="1" applyFill="1" applyBorder="1"/>
    <xf numFmtId="43" fontId="68" fillId="7" borderId="0" xfId="6" applyFont="1" applyFill="1" applyBorder="1"/>
    <xf numFmtId="43" fontId="68" fillId="7" borderId="13" xfId="6" applyFont="1" applyFill="1" applyBorder="1"/>
    <xf numFmtId="43" fontId="68" fillId="4" borderId="62" xfId="6" applyFont="1" applyFill="1" applyBorder="1"/>
    <xf numFmtId="43" fontId="70" fillId="4" borderId="3" xfId="6" applyFont="1" applyFill="1" applyBorder="1"/>
    <xf numFmtId="43" fontId="70" fillId="4" borderId="3" xfId="6" applyFont="1" applyFill="1" applyBorder="1" applyAlignment="1"/>
    <xf numFmtId="43" fontId="71" fillId="4" borderId="13" xfId="6" applyFont="1" applyFill="1" applyBorder="1"/>
    <xf numFmtId="0" fontId="22" fillId="7" borderId="12" xfId="0" applyFont="1" applyFill="1" applyBorder="1"/>
    <xf numFmtId="0" fontId="20" fillId="13" borderId="0" xfId="0" applyFont="1" applyFill="1" applyAlignment="1" applyProtection="1">
      <alignment horizontal="right"/>
      <protection locked="0"/>
    </xf>
    <xf numFmtId="0" fontId="21" fillId="4" borderId="16" xfId="0" applyFont="1" applyFill="1" applyBorder="1"/>
    <xf numFmtId="167" fontId="21" fillId="4" borderId="17" xfId="2" applyNumberFormat="1" applyFont="1" applyFill="1" applyBorder="1"/>
    <xf numFmtId="0" fontId="21" fillId="4" borderId="17" xfId="0" applyFont="1" applyFill="1" applyBorder="1"/>
    <xf numFmtId="0" fontId="21" fillId="4" borderId="38" xfId="0" applyFont="1" applyFill="1" applyBorder="1"/>
    <xf numFmtId="0" fontId="0" fillId="4" borderId="70" xfId="0" applyFill="1" applyBorder="1"/>
    <xf numFmtId="167" fontId="21" fillId="4" borderId="39" xfId="2" applyNumberFormat="1" applyFont="1" applyFill="1" applyBorder="1"/>
    <xf numFmtId="0" fontId="0" fillId="4" borderId="71" xfId="0" applyFill="1" applyBorder="1"/>
    <xf numFmtId="0" fontId="0" fillId="4" borderId="72" xfId="0" applyFill="1" applyBorder="1"/>
    <xf numFmtId="0" fontId="21" fillId="4" borderId="71" xfId="0" applyFont="1" applyFill="1" applyBorder="1"/>
    <xf numFmtId="167" fontId="21" fillId="4" borderId="72" xfId="2" applyNumberFormat="1" applyFont="1" applyFill="1" applyBorder="1"/>
    <xf numFmtId="0" fontId="20" fillId="4" borderId="71" xfId="0" applyFont="1" applyFill="1" applyBorder="1"/>
    <xf numFmtId="167" fontId="20" fillId="4" borderId="72" xfId="2" applyNumberFormat="1" applyFont="1" applyFill="1" applyBorder="1"/>
    <xf numFmtId="0" fontId="22" fillId="4" borderId="71" xfId="0" applyFont="1" applyFill="1" applyBorder="1"/>
    <xf numFmtId="0" fontId="20" fillId="4" borderId="36" xfId="0" applyFont="1" applyFill="1" applyBorder="1" applyAlignment="1">
      <alignment horizontal="left"/>
    </xf>
    <xf numFmtId="0" fontId="20" fillId="4" borderId="75" xfId="0" applyFont="1" applyFill="1" applyBorder="1"/>
    <xf numFmtId="10" fontId="20" fillId="4" borderId="37" xfId="0" applyNumberFormat="1" applyFont="1" applyFill="1" applyBorder="1" applyAlignment="1">
      <alignment horizontal="right"/>
    </xf>
    <xf numFmtId="49" fontId="36" fillId="13" borderId="52" xfId="2" applyNumberFormat="1" applyFont="1" applyFill="1" applyBorder="1" applyProtection="1">
      <protection locked="0"/>
    </xf>
    <xf numFmtId="49" fontId="36" fillId="13" borderId="51" xfId="2" applyNumberFormat="1" applyFont="1" applyFill="1" applyBorder="1" applyProtection="1">
      <protection locked="0"/>
    </xf>
    <xf numFmtId="167" fontId="36" fillId="13" borderId="0" xfId="2" applyNumberFormat="1" applyFont="1" applyFill="1" applyBorder="1" applyProtection="1">
      <protection locked="0"/>
    </xf>
    <xf numFmtId="167" fontId="36" fillId="13" borderId="13" xfId="2" applyNumberFormat="1" applyFont="1" applyFill="1" applyBorder="1" applyProtection="1">
      <protection locked="0"/>
    </xf>
    <xf numFmtId="167" fontId="36" fillId="13" borderId="61" xfId="2" applyNumberFormat="1" applyFont="1" applyFill="1" applyBorder="1" applyProtection="1">
      <protection locked="0"/>
    </xf>
    <xf numFmtId="167" fontId="36" fillId="13" borderId="62" xfId="2" applyNumberFormat="1" applyFont="1" applyFill="1" applyBorder="1" applyProtection="1">
      <protection locked="0"/>
    </xf>
    <xf numFmtId="167" fontId="36" fillId="13" borderId="17" xfId="2" applyNumberFormat="1" applyFont="1" applyFill="1" applyBorder="1" applyProtection="1">
      <protection locked="0"/>
    </xf>
    <xf numFmtId="167" fontId="36" fillId="13" borderId="19" xfId="2" applyNumberFormat="1" applyFont="1" applyFill="1" applyBorder="1" applyProtection="1">
      <protection locked="0"/>
    </xf>
    <xf numFmtId="167" fontId="36" fillId="13" borderId="20" xfId="2" applyNumberFormat="1" applyFont="1" applyFill="1" applyBorder="1" applyProtection="1">
      <protection locked="0"/>
    </xf>
    <xf numFmtId="167" fontId="36" fillId="13" borderId="52" xfId="2" applyNumberFormat="1" applyFont="1" applyFill="1" applyBorder="1" applyProtection="1">
      <protection locked="0"/>
    </xf>
    <xf numFmtId="167" fontId="36" fillId="13" borderId="51" xfId="2" applyNumberFormat="1" applyFont="1" applyFill="1" applyBorder="1" applyProtection="1">
      <protection locked="0"/>
    </xf>
    <xf numFmtId="167" fontId="36" fillId="13" borderId="15" xfId="2" applyNumberFormat="1" applyFont="1" applyFill="1" applyBorder="1" applyProtection="1">
      <protection locked="0"/>
    </xf>
    <xf numFmtId="167" fontId="36" fillId="13" borderId="80" xfId="2" applyNumberFormat="1" applyFont="1" applyFill="1" applyBorder="1" applyProtection="1">
      <protection locked="0"/>
    </xf>
    <xf numFmtId="0" fontId="36" fillId="13" borderId="61" xfId="0" applyFont="1" applyFill="1" applyBorder="1" applyProtection="1">
      <protection locked="0"/>
    </xf>
    <xf numFmtId="0" fontId="36" fillId="13" borderId="62" xfId="0" applyFont="1" applyFill="1" applyBorder="1" applyProtection="1">
      <protection locked="0"/>
    </xf>
    <xf numFmtId="0" fontId="36" fillId="13" borderId="23" xfId="0" applyFont="1" applyFill="1" applyBorder="1" applyProtection="1">
      <protection locked="0"/>
    </xf>
    <xf numFmtId="0" fontId="36" fillId="13" borderId="24" xfId="0" applyFont="1" applyFill="1" applyBorder="1" applyProtection="1">
      <protection locked="0"/>
    </xf>
    <xf numFmtId="9" fontId="36" fillId="13" borderId="23" xfId="0" applyNumberFormat="1" applyFont="1" applyFill="1" applyBorder="1" applyProtection="1">
      <protection locked="0"/>
    </xf>
    <xf numFmtId="9" fontId="36" fillId="13" borderId="24" xfId="3" applyFont="1" applyFill="1" applyBorder="1" applyProtection="1">
      <protection locked="0"/>
    </xf>
    <xf numFmtId="0" fontId="36" fillId="13" borderId="15" xfId="0" applyFont="1" applyFill="1" applyBorder="1" applyProtection="1">
      <protection locked="0"/>
    </xf>
    <xf numFmtId="0" fontId="36" fillId="13" borderId="0" xfId="0" applyFont="1" applyFill="1" applyProtection="1">
      <protection locked="0"/>
    </xf>
    <xf numFmtId="0" fontId="36" fillId="13" borderId="19" xfId="0" applyFont="1" applyFill="1" applyBorder="1" applyProtection="1">
      <protection locked="0"/>
    </xf>
    <xf numFmtId="0" fontId="21" fillId="4" borderId="12" xfId="0" applyFont="1" applyFill="1" applyBorder="1"/>
    <xf numFmtId="43" fontId="72" fillId="4" borderId="0" xfId="6" applyFont="1" applyFill="1" applyBorder="1"/>
    <xf numFmtId="10" fontId="21" fillId="4" borderId="40" xfId="3" applyNumberFormat="1" applyFont="1" applyFill="1" applyBorder="1"/>
    <xf numFmtId="0" fontId="21" fillId="4" borderId="60" xfId="0" applyFont="1" applyFill="1" applyBorder="1"/>
    <xf numFmtId="0" fontId="23" fillId="4" borderId="14" xfId="0" applyFont="1" applyFill="1" applyBorder="1"/>
    <xf numFmtId="172" fontId="23" fillId="4" borderId="21" xfId="2" applyNumberFormat="1" applyFont="1" applyFill="1" applyBorder="1"/>
    <xf numFmtId="0" fontId="23" fillId="4" borderId="16" xfId="0" applyFont="1" applyFill="1" applyBorder="1"/>
    <xf numFmtId="172" fontId="23" fillId="4" borderId="17" xfId="2" applyNumberFormat="1" applyFont="1" applyFill="1" applyBorder="1"/>
    <xf numFmtId="0" fontId="23" fillId="4" borderId="18" xfId="0" applyFont="1" applyFill="1" applyBorder="1"/>
    <xf numFmtId="172" fontId="23" fillId="4" borderId="20" xfId="2" applyNumberFormat="1" applyFont="1" applyFill="1" applyBorder="1"/>
    <xf numFmtId="0" fontId="43" fillId="4" borderId="18" xfId="0" applyFont="1" applyFill="1" applyBorder="1" applyAlignment="1">
      <alignment horizontal="left"/>
    </xf>
    <xf numFmtId="10" fontId="43" fillId="4" borderId="20" xfId="0" applyNumberFormat="1" applyFont="1" applyFill="1" applyBorder="1" applyAlignment="1">
      <alignment horizontal="right"/>
    </xf>
    <xf numFmtId="0" fontId="48" fillId="4" borderId="0" xfId="1" applyFont="1" applyFill="1" applyAlignment="1" applyProtection="1"/>
    <xf numFmtId="0" fontId="14" fillId="4" borderId="0" xfId="3" applyNumberFormat="1" applyFont="1" applyFill="1"/>
    <xf numFmtId="2" fontId="14" fillId="4" borderId="0" xfId="0" applyNumberFormat="1" applyFont="1" applyFill="1"/>
    <xf numFmtId="44" fontId="14" fillId="4" borderId="0" xfId="0" applyNumberFormat="1" applyFont="1" applyFill="1"/>
    <xf numFmtId="0" fontId="23" fillId="3" borderId="16" xfId="0" applyFont="1" applyFill="1" applyBorder="1"/>
    <xf numFmtId="0" fontId="23" fillId="3" borderId="18" xfId="0" applyFont="1" applyFill="1" applyBorder="1"/>
    <xf numFmtId="167" fontId="73" fillId="8" borderId="25" xfId="2" applyNumberFormat="1" applyFont="1" applyFill="1" applyBorder="1" applyProtection="1">
      <protection locked="0"/>
    </xf>
    <xf numFmtId="0" fontId="23" fillId="8" borderId="3" xfId="0" applyFont="1" applyFill="1" applyBorder="1" applyProtection="1">
      <protection locked="0"/>
    </xf>
    <xf numFmtId="2" fontId="23" fillId="8" borderId="3" xfId="0" applyNumberFormat="1" applyFont="1" applyFill="1" applyBorder="1" applyProtection="1">
      <protection locked="0"/>
    </xf>
    <xf numFmtId="167" fontId="73" fillId="0" borderId="3" xfId="2" applyNumberFormat="1" applyFont="1" applyFill="1" applyBorder="1" applyProtection="1">
      <protection hidden="1"/>
    </xf>
    <xf numFmtId="167" fontId="73" fillId="0" borderId="44" xfId="2" applyNumberFormat="1" applyFont="1" applyFill="1" applyBorder="1" applyProtection="1">
      <protection hidden="1"/>
    </xf>
    <xf numFmtId="167" fontId="23" fillId="8" borderId="3" xfId="4" applyNumberFormat="1" applyFont="1" applyFill="1" applyBorder="1" applyProtection="1">
      <protection locked="0"/>
    </xf>
    <xf numFmtId="0" fontId="23" fillId="3" borderId="0" xfId="0" applyFont="1" applyFill="1"/>
    <xf numFmtId="9" fontId="23" fillId="8" borderId="3" xfId="3" applyFont="1" applyFill="1" applyBorder="1" applyProtection="1">
      <protection locked="0"/>
    </xf>
    <xf numFmtId="167" fontId="73" fillId="8" borderId="3" xfId="2" applyNumberFormat="1" applyFont="1" applyFill="1" applyBorder="1" applyProtection="1">
      <protection locked="0"/>
    </xf>
    <xf numFmtId="10" fontId="23" fillId="8" borderId="3" xfId="0" applyNumberFormat="1" applyFont="1" applyFill="1" applyBorder="1" applyProtection="1">
      <protection locked="0"/>
    </xf>
    <xf numFmtId="1" fontId="23" fillId="8" borderId="3" xfId="0" applyNumberFormat="1" applyFont="1" applyFill="1" applyBorder="1" applyProtection="1">
      <protection locked="0"/>
    </xf>
    <xf numFmtId="2" fontId="73" fillId="0" borderId="3" xfId="0" applyNumberFormat="1" applyFont="1" applyBorder="1" applyProtection="1">
      <protection hidden="1"/>
    </xf>
    <xf numFmtId="2" fontId="73" fillId="0" borderId="44" xfId="0" applyNumberFormat="1" applyFont="1" applyBorder="1" applyProtection="1">
      <protection hidden="1"/>
    </xf>
    <xf numFmtId="0" fontId="23" fillId="3" borderId="19" xfId="0" applyFont="1" applyFill="1" applyBorder="1"/>
    <xf numFmtId="3" fontId="73" fillId="8" borderId="83" xfId="0" applyNumberFormat="1" applyFont="1" applyFill="1" applyBorder="1" applyProtection="1">
      <protection locked="0"/>
    </xf>
    <xf numFmtId="4" fontId="73" fillId="8" borderId="84" xfId="0" applyNumberFormat="1" applyFont="1" applyFill="1" applyBorder="1" applyProtection="1">
      <protection locked="0"/>
    </xf>
    <xf numFmtId="4" fontId="73" fillId="0" borderId="84" xfId="0" applyNumberFormat="1" applyFont="1" applyBorder="1" applyProtection="1">
      <protection hidden="1"/>
    </xf>
    <xf numFmtId="4" fontId="73" fillId="0" borderId="85" xfId="0" applyNumberFormat="1" applyFont="1" applyBorder="1" applyProtection="1">
      <protection hidden="1"/>
    </xf>
    <xf numFmtId="0" fontId="23" fillId="0" borderId="12" xfId="0" applyFont="1" applyBorder="1"/>
    <xf numFmtId="0" fontId="23" fillId="3" borderId="12" xfId="0" applyFont="1" applyFill="1" applyBorder="1"/>
    <xf numFmtId="0" fontId="23" fillId="3" borderId="60" xfId="0" applyFont="1" applyFill="1" applyBorder="1"/>
    <xf numFmtId="167" fontId="73" fillId="0" borderId="84" xfId="2" applyNumberFormat="1" applyFont="1" applyFill="1" applyBorder="1" applyProtection="1">
      <protection hidden="1"/>
    </xf>
    <xf numFmtId="43" fontId="73" fillId="8" borderId="84" xfId="6" applyFont="1" applyFill="1" applyBorder="1" applyAlignment="1" applyProtection="1">
      <alignment horizontal="right"/>
      <protection locked="0"/>
    </xf>
    <xf numFmtId="3" fontId="73" fillId="8" borderId="84" xfId="0" applyNumberFormat="1" applyFont="1" applyFill="1" applyBorder="1" applyAlignment="1" applyProtection="1">
      <alignment horizontal="center"/>
      <protection locked="0"/>
    </xf>
    <xf numFmtId="167" fontId="73" fillId="8" borderId="84" xfId="2" applyNumberFormat="1" applyFont="1" applyFill="1" applyBorder="1" applyProtection="1">
      <protection locked="0"/>
    </xf>
    <xf numFmtId="0" fontId="23" fillId="0" borderId="60" xfId="0" applyFont="1" applyBorder="1"/>
    <xf numFmtId="9" fontId="73" fillId="0" borderId="85" xfId="3" applyFont="1" applyFill="1" applyBorder="1" applyProtection="1">
      <protection hidden="1"/>
    </xf>
    <xf numFmtId="0" fontId="23" fillId="8" borderId="84" xfId="0" applyFont="1" applyFill="1" applyBorder="1" applyProtection="1">
      <protection locked="0"/>
    </xf>
    <xf numFmtId="10" fontId="73" fillId="0" borderId="87" xfId="3" applyNumberFormat="1" applyFont="1" applyFill="1" applyBorder="1" applyProtection="1">
      <protection hidden="1"/>
    </xf>
    <xf numFmtId="0" fontId="23" fillId="8" borderId="85" xfId="0" applyFont="1" applyFill="1" applyBorder="1" applyProtection="1">
      <protection locked="0"/>
    </xf>
    <xf numFmtId="3" fontId="23" fillId="8" borderId="25" xfId="0" applyNumberFormat="1" applyFont="1" applyFill="1" applyBorder="1" applyProtection="1">
      <protection locked="0"/>
    </xf>
    <xf numFmtId="3" fontId="74" fillId="5" borderId="44" xfId="0" applyNumberFormat="1" applyFont="1" applyFill="1" applyBorder="1" applyProtection="1">
      <protection hidden="1"/>
    </xf>
    <xf numFmtId="167" fontId="21" fillId="0" borderId="31" xfId="2" applyNumberFormat="1" applyFont="1" applyBorder="1" applyAlignment="1" applyProtection="1">
      <alignment horizontal="right"/>
      <protection hidden="1"/>
    </xf>
    <xf numFmtId="9" fontId="21" fillId="0" borderId="27" xfId="3" applyFont="1" applyBorder="1" applyProtection="1">
      <protection hidden="1"/>
    </xf>
    <xf numFmtId="9" fontId="21" fillId="0" borderId="32" xfId="3" applyFont="1" applyBorder="1" applyProtection="1">
      <protection hidden="1"/>
    </xf>
    <xf numFmtId="167" fontId="21" fillId="0" borderId="31" xfId="2" applyNumberFormat="1" applyFont="1" applyBorder="1" applyProtection="1">
      <protection hidden="1"/>
    </xf>
    <xf numFmtId="167" fontId="21" fillId="0" borderId="33" xfId="2" applyNumberFormat="1" applyFont="1" applyBorder="1" applyProtection="1">
      <protection hidden="1"/>
    </xf>
    <xf numFmtId="9" fontId="21" fillId="0" borderId="34" xfId="3" applyFont="1" applyBorder="1" applyProtection="1">
      <protection hidden="1"/>
    </xf>
    <xf numFmtId="9" fontId="21" fillId="0" borderId="35" xfId="3" applyFont="1" applyBorder="1" applyProtection="1">
      <protection hidden="1"/>
    </xf>
    <xf numFmtId="0" fontId="21" fillId="0" borderId="3" xfId="0" applyFont="1" applyBorder="1"/>
    <xf numFmtId="0" fontId="21" fillId="6" borderId="3" xfId="0" applyFont="1" applyFill="1" applyBorder="1" applyProtection="1">
      <protection locked="0"/>
    </xf>
    <xf numFmtId="0" fontId="21" fillId="6" borderId="26" xfId="0" applyFont="1" applyFill="1" applyBorder="1" applyProtection="1">
      <protection locked="0"/>
    </xf>
    <xf numFmtId="0" fontId="21" fillId="4" borderId="27" xfId="0" applyFont="1" applyFill="1" applyBorder="1" applyProtection="1">
      <protection locked="0"/>
    </xf>
    <xf numFmtId="0" fontId="21" fillId="6" borderId="32" xfId="0" applyFont="1" applyFill="1" applyBorder="1" applyProtection="1">
      <protection locked="0"/>
    </xf>
    <xf numFmtId="0" fontId="23" fillId="0" borderId="56" xfId="0" applyFont="1" applyBorder="1"/>
    <xf numFmtId="0" fontId="21" fillId="6" borderId="3" xfId="0" applyFont="1" applyFill="1" applyBorder="1"/>
    <xf numFmtId="0" fontId="21" fillId="4" borderId="3" xfId="0" applyFont="1" applyFill="1" applyBorder="1"/>
    <xf numFmtId="0" fontId="21" fillId="4" borderId="27" xfId="0" applyFont="1" applyFill="1" applyBorder="1"/>
    <xf numFmtId="0" fontId="21" fillId="4" borderId="26" xfId="0" applyFont="1" applyFill="1" applyBorder="1"/>
    <xf numFmtId="43" fontId="21" fillId="4" borderId="40" xfId="6" applyFont="1" applyFill="1" applyBorder="1"/>
    <xf numFmtId="173" fontId="21" fillId="4" borderId="40" xfId="6" applyNumberFormat="1" applyFont="1" applyFill="1" applyBorder="1"/>
    <xf numFmtId="0" fontId="21" fillId="4" borderId="40" xfId="0" applyFont="1" applyFill="1" applyBorder="1"/>
    <xf numFmtId="10" fontId="21" fillId="13" borderId="40" xfId="3" applyNumberFormat="1" applyFont="1" applyFill="1" applyBorder="1" applyProtection="1">
      <protection locked="0"/>
    </xf>
    <xf numFmtId="173" fontId="21" fillId="13" borderId="40" xfId="6" applyNumberFormat="1" applyFont="1" applyFill="1" applyBorder="1" applyProtection="1">
      <protection locked="0"/>
    </xf>
    <xf numFmtId="0" fontId="21" fillId="13" borderId="40" xfId="0" applyFont="1" applyFill="1" applyBorder="1" applyAlignment="1" applyProtection="1">
      <alignment horizontal="right"/>
      <protection locked="0"/>
    </xf>
    <xf numFmtId="0" fontId="23" fillId="0" borderId="0" xfId="0" applyFont="1"/>
    <xf numFmtId="0" fontId="5" fillId="0" borderId="95" xfId="1" applyBorder="1" applyAlignment="1" applyProtection="1"/>
    <xf numFmtId="0" fontId="5" fillId="0" borderId="95" xfId="1" applyBorder="1" applyAlignment="1" applyProtection="1">
      <alignment horizontal="right"/>
    </xf>
    <xf numFmtId="0" fontId="61" fillId="4" borderId="0" xfId="0" applyFont="1" applyFill="1"/>
    <xf numFmtId="43" fontId="75" fillId="4" borderId="0" xfId="6" applyFont="1" applyFill="1" applyBorder="1"/>
    <xf numFmtId="43" fontId="75" fillId="4" borderId="61" xfId="6" applyFont="1" applyFill="1" applyBorder="1"/>
    <xf numFmtId="173" fontId="21" fillId="4" borderId="40" xfId="6" applyNumberFormat="1" applyFont="1" applyFill="1" applyBorder="1" applyAlignment="1">
      <alignment horizontal="right"/>
    </xf>
    <xf numFmtId="173" fontId="21" fillId="4" borderId="106" xfId="6" applyNumberFormat="1" applyFont="1" applyFill="1" applyBorder="1" applyAlignment="1">
      <alignment horizontal="right"/>
    </xf>
    <xf numFmtId="43" fontId="69" fillId="7" borderId="107" xfId="0" applyNumberFormat="1" applyFont="1" applyFill="1" applyBorder="1"/>
    <xf numFmtId="43" fontId="69" fillId="7" borderId="25" xfId="0" applyNumberFormat="1" applyFont="1" applyFill="1" applyBorder="1"/>
    <xf numFmtId="43" fontId="69" fillId="7" borderId="108" xfId="0" applyNumberFormat="1" applyFont="1" applyFill="1" applyBorder="1"/>
    <xf numFmtId="173" fontId="70" fillId="4" borderId="109" xfId="0" applyNumberFormat="1" applyFont="1" applyFill="1" applyBorder="1" applyAlignment="1">
      <alignment horizontal="left"/>
    </xf>
    <xf numFmtId="43" fontId="70" fillId="4" borderId="110" xfId="0" applyNumberFormat="1" applyFont="1" applyFill="1" applyBorder="1"/>
    <xf numFmtId="43" fontId="70" fillId="4" borderId="111" xfId="0" applyNumberFormat="1" applyFont="1" applyFill="1" applyBorder="1"/>
    <xf numFmtId="173" fontId="70" fillId="4" borderId="3" xfId="6" applyNumberFormat="1" applyFont="1" applyFill="1" applyBorder="1" applyAlignment="1">
      <alignment horizontal="left"/>
    </xf>
    <xf numFmtId="174" fontId="21" fillId="6" borderId="3" xfId="0" applyNumberFormat="1" applyFont="1" applyFill="1" applyBorder="1" applyProtection="1">
      <protection locked="0"/>
    </xf>
    <xf numFmtId="0" fontId="29" fillId="4" borderId="0" xfId="0" applyFont="1" applyFill="1" applyAlignment="1" applyProtection="1">
      <alignment horizontal="left" vertical="top" wrapText="1"/>
      <protection hidden="1"/>
    </xf>
    <xf numFmtId="0" fontId="46" fillId="4" borderId="57" xfId="0" applyFont="1" applyFill="1" applyBorder="1" applyAlignment="1">
      <alignment horizontal="center" vertical="center" wrapText="1"/>
    </xf>
    <xf numFmtId="0" fontId="0" fillId="4" borderId="58" xfId="0" applyFill="1" applyBorder="1" applyAlignment="1">
      <alignment horizontal="center" wrapText="1"/>
    </xf>
    <xf numFmtId="0" fontId="0" fillId="4" borderId="59" xfId="0" applyFill="1" applyBorder="1" applyAlignment="1">
      <alignment horizontal="center" wrapText="1"/>
    </xf>
    <xf numFmtId="0" fontId="0" fillId="4" borderId="12" xfId="0" applyFill="1" applyBorder="1" applyAlignment="1">
      <alignment horizontal="center" wrapText="1"/>
    </xf>
    <xf numFmtId="0" fontId="0" fillId="4" borderId="0" xfId="0" applyFill="1" applyAlignment="1">
      <alignment horizontal="center" wrapText="1"/>
    </xf>
    <xf numFmtId="0" fontId="0" fillId="4" borderId="13" xfId="0" applyFill="1" applyBorder="1" applyAlignment="1">
      <alignment horizontal="center" wrapText="1"/>
    </xf>
    <xf numFmtId="0" fontId="0" fillId="4" borderId="12" xfId="0" applyFill="1" applyBorder="1" applyAlignment="1">
      <alignment wrapText="1"/>
    </xf>
    <xf numFmtId="0" fontId="0" fillId="4" borderId="0" xfId="0" applyFill="1" applyAlignment="1">
      <alignment wrapText="1"/>
    </xf>
    <xf numFmtId="0" fontId="0" fillId="4" borderId="13" xfId="0" applyFill="1" applyBorder="1" applyAlignment="1">
      <alignment wrapText="1"/>
    </xf>
    <xf numFmtId="0" fontId="0" fillId="4" borderId="60" xfId="0" applyFill="1" applyBorder="1" applyAlignment="1">
      <alignment wrapText="1"/>
    </xf>
    <xf numFmtId="0" fontId="0" fillId="4" borderId="61" xfId="0" applyFill="1" applyBorder="1" applyAlignment="1">
      <alignment wrapText="1"/>
    </xf>
    <xf numFmtId="0" fontId="0" fillId="4" borderId="62" xfId="0" applyFill="1" applyBorder="1" applyAlignment="1">
      <alignment wrapText="1"/>
    </xf>
    <xf numFmtId="169" fontId="13" fillId="4" borderId="0" xfId="0" applyNumberFormat="1" applyFont="1" applyFill="1"/>
    <xf numFmtId="0" fontId="0" fillId="4" borderId="0" xfId="0" applyFill="1"/>
    <xf numFmtId="167" fontId="39" fillId="4" borderId="0" xfId="2" applyNumberFormat="1" applyFont="1" applyFill="1" applyBorder="1" applyAlignment="1" applyProtection="1"/>
    <xf numFmtId="0" fontId="22" fillId="4" borderId="0" xfId="0" applyFont="1" applyFill="1" applyAlignment="1">
      <alignment horizontal="right"/>
    </xf>
    <xf numFmtId="0" fontId="0" fillId="4" borderId="0" xfId="0" applyFill="1" applyAlignment="1">
      <alignment horizontal="right"/>
    </xf>
    <xf numFmtId="169" fontId="57" fillId="4" borderId="0" xfId="0" applyNumberFormat="1" applyFont="1" applyFill="1" applyAlignment="1">
      <alignment horizontal="left"/>
    </xf>
    <xf numFmtId="0" fontId="55" fillId="4" borderId="0" xfId="0" applyFont="1" applyFill="1"/>
    <xf numFmtId="167" fontId="58" fillId="4" borderId="0" xfId="2" applyNumberFormat="1" applyFont="1" applyFill="1" applyBorder="1" applyAlignment="1" applyProtection="1"/>
    <xf numFmtId="0" fontId="58" fillId="4" borderId="0" xfId="0" applyFont="1" applyFill="1" applyAlignment="1">
      <alignment horizontal="right"/>
    </xf>
    <xf numFmtId="169" fontId="58" fillId="4" borderId="0" xfId="0" applyNumberFormat="1" applyFont="1" applyFill="1" applyAlignment="1">
      <alignment horizontal="left"/>
    </xf>
    <xf numFmtId="0" fontId="23" fillId="4" borderId="0" xfId="0" applyFont="1" applyFill="1" applyAlignment="1">
      <alignment vertical="top" wrapText="1"/>
    </xf>
    <xf numFmtId="172" fontId="22" fillId="7" borderId="0" xfId="2" applyNumberFormat="1" applyFont="1" applyFill="1" applyBorder="1" applyAlignment="1">
      <alignment horizontal="center"/>
    </xf>
    <xf numFmtId="0" fontId="0" fillId="0" borderId="0" xfId="0" applyAlignment="1">
      <alignment horizontal="center"/>
    </xf>
    <xf numFmtId="172" fontId="22" fillId="7" borderId="0" xfId="0" applyNumberFormat="1" applyFont="1" applyFill="1" applyAlignment="1">
      <alignment horizontal="center"/>
    </xf>
    <xf numFmtId="0" fontId="20" fillId="3" borderId="22" xfId="0" applyFont="1" applyFill="1" applyBorder="1" applyAlignment="1" applyProtection="1">
      <alignment horizontal="center" vertical="center" wrapText="1"/>
      <protection hidden="1"/>
    </xf>
    <xf numFmtId="0" fontId="20" fillId="3" borderId="23" xfId="0" applyFont="1" applyFill="1" applyBorder="1" applyAlignment="1" applyProtection="1">
      <alignment horizontal="center" vertical="center" wrapText="1"/>
      <protection hidden="1"/>
    </xf>
    <xf numFmtId="0" fontId="21" fillId="0" borderId="23" xfId="0" applyFont="1" applyBorder="1" applyProtection="1">
      <protection hidden="1"/>
    </xf>
    <xf numFmtId="0" fontId="21" fillId="0" borderId="24" xfId="0" applyFont="1" applyBorder="1" applyProtection="1">
      <protection hidden="1"/>
    </xf>
    <xf numFmtId="0" fontId="5" fillId="3" borderId="2" xfId="1" applyFill="1" applyBorder="1" applyAlignment="1" applyProtection="1">
      <alignment horizontal="center" vertical="center" wrapText="1"/>
      <protection hidden="1"/>
    </xf>
    <xf numFmtId="0" fontId="5" fillId="3" borderId="0" xfId="1" applyFill="1" applyBorder="1" applyAlignment="1" applyProtection="1">
      <alignment horizontal="center" vertical="center" wrapText="1"/>
      <protection hidden="1"/>
    </xf>
    <xf numFmtId="0" fontId="5" fillId="0" borderId="0" xfId="1" applyBorder="1" applyAlignment="1" applyProtection="1">
      <protection hidden="1"/>
    </xf>
    <xf numFmtId="0" fontId="5" fillId="0" borderId="1" xfId="1" applyBorder="1" applyAlignment="1" applyProtection="1">
      <protection hidden="1"/>
    </xf>
    <xf numFmtId="0" fontId="5" fillId="4" borderId="0" xfId="1" applyFill="1" applyAlignment="1" applyProtection="1">
      <alignment horizontal="center"/>
      <protection hidden="1"/>
    </xf>
    <xf numFmtId="0" fontId="5" fillId="4" borderId="0" xfId="1" applyFill="1" applyAlignment="1" applyProtection="1">
      <alignment horizontal="center"/>
    </xf>
    <xf numFmtId="0" fontId="7" fillId="4" borderId="5" xfId="0" applyFont="1" applyFill="1" applyBorder="1" applyAlignment="1" applyProtection="1">
      <alignment horizontal="center" vertical="center" wrapText="1"/>
      <protection hidden="1"/>
    </xf>
    <xf numFmtId="0" fontId="7" fillId="4" borderId="6" xfId="0" applyFont="1" applyFill="1" applyBorder="1" applyAlignment="1" applyProtection="1">
      <alignment horizontal="center" vertical="center" wrapText="1"/>
      <protection hidden="1"/>
    </xf>
    <xf numFmtId="0" fontId="7" fillId="4" borderId="7" xfId="0" applyFont="1" applyFill="1" applyBorder="1" applyAlignment="1" applyProtection="1">
      <alignment horizontal="center" vertical="center" wrapText="1"/>
      <protection hidden="1"/>
    </xf>
    <xf numFmtId="0" fontId="7" fillId="4" borderId="8" xfId="0" applyFont="1" applyFill="1" applyBorder="1" applyAlignment="1" applyProtection="1">
      <alignment horizontal="center" vertical="center" wrapText="1"/>
      <protection hidden="1"/>
    </xf>
    <xf numFmtId="0" fontId="7" fillId="4" borderId="0" xfId="0" applyFont="1" applyFill="1" applyAlignment="1" applyProtection="1">
      <alignment horizontal="center" vertical="center" wrapText="1"/>
      <protection hidden="1"/>
    </xf>
    <xf numFmtId="0" fontId="7" fillId="4" borderId="9" xfId="0" applyFont="1" applyFill="1" applyBorder="1" applyAlignment="1" applyProtection="1">
      <alignment horizontal="center" vertical="center" wrapText="1"/>
      <protection hidden="1"/>
    </xf>
    <xf numFmtId="0" fontId="7" fillId="4" borderId="10" xfId="0" applyFont="1" applyFill="1" applyBorder="1" applyAlignment="1" applyProtection="1">
      <alignment horizontal="center" vertical="center" wrapText="1"/>
      <protection hidden="1"/>
    </xf>
    <xf numFmtId="0" fontId="7" fillId="4" borderId="4" xfId="0" applyFont="1" applyFill="1" applyBorder="1" applyAlignment="1" applyProtection="1">
      <alignment horizontal="center" vertical="center" wrapText="1"/>
      <protection hidden="1"/>
    </xf>
    <xf numFmtId="0" fontId="7" fillId="4" borderId="11" xfId="0" applyFont="1" applyFill="1" applyBorder="1" applyAlignment="1" applyProtection="1">
      <alignment horizontal="center" vertical="center" wrapText="1"/>
      <protection hidden="1"/>
    </xf>
  </cellXfs>
  <cellStyles count="8">
    <cellStyle name="Berechnung" xfId="7" builtinId="22"/>
    <cellStyle name="Komma" xfId="6" builtinId="3"/>
    <cellStyle name="Link" xfId="1" builtinId="8"/>
    <cellStyle name="Prozent" xfId="3" builtinId="5"/>
    <cellStyle name="Prozent 2" xfId="5" xr:uid="{A76B6F63-574F-487E-91C5-752903195F9B}"/>
    <cellStyle name="Standard" xfId="0" builtinId="0"/>
    <cellStyle name="Währung" xfId="2" builtinId="4"/>
    <cellStyle name="Währung 2" xfId="4" xr:uid="{704A080F-345D-4D8F-99FB-76A810ECCD07}"/>
  </cellStyles>
  <dxfs count="110">
    <dxf>
      <fill>
        <patternFill>
          <bgColor theme="5"/>
        </patternFill>
      </fill>
    </dxf>
    <dxf>
      <font>
        <color theme="0"/>
      </font>
      <fill>
        <patternFill>
          <bgColor theme="0"/>
        </patternFill>
      </fill>
    </dxf>
    <dxf>
      <font>
        <color theme="0"/>
      </font>
      <fill>
        <patternFill>
          <bgColor theme="0"/>
        </patternFill>
      </fill>
    </dxf>
    <dxf>
      <font>
        <color auto="1"/>
      </font>
      <fill>
        <patternFill>
          <bgColor rgb="FFC6EFCE"/>
        </patternFill>
      </fill>
    </dxf>
    <dxf>
      <font>
        <color auto="1"/>
      </font>
      <fill>
        <patternFill>
          <bgColor theme="4" tint="0.79998168889431442"/>
        </patternFill>
      </fill>
    </dxf>
    <dxf>
      <font>
        <color auto="1"/>
      </font>
      <fill>
        <patternFill>
          <bgColor rgb="FFC6EFCE"/>
        </patternFill>
      </fill>
    </dxf>
    <dxf>
      <font>
        <color auto="1"/>
      </font>
      <fill>
        <patternFill>
          <bgColor theme="4" tint="0.79998168889431442"/>
        </patternFill>
      </fill>
    </dxf>
    <dxf>
      <font>
        <color auto="1"/>
      </font>
      <fill>
        <patternFill>
          <bgColor theme="4" tint="0.79998168889431442"/>
        </patternFill>
      </fill>
    </dxf>
    <dxf>
      <font>
        <color auto="1"/>
      </font>
      <fill>
        <patternFill>
          <bgColor rgb="FFC6EFCE"/>
        </patternFill>
      </fill>
    </dxf>
    <dxf>
      <font>
        <color rgb="FF006100"/>
      </font>
      <fill>
        <patternFill>
          <bgColor rgb="FFC6EFCE"/>
        </patternFill>
      </fill>
    </dxf>
    <dxf>
      <font>
        <color auto="1"/>
      </font>
      <fill>
        <patternFill>
          <bgColor theme="4"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rgb="FFC6EFCE"/>
        </patternFill>
      </fill>
    </dxf>
    <dxf>
      <font>
        <color theme="1"/>
      </font>
      <fill>
        <patternFill>
          <bgColor theme="4" tint="0.79998168889431442"/>
        </patternFill>
      </fill>
    </dxf>
    <dxf>
      <font>
        <color auto="1"/>
      </font>
      <fill>
        <patternFill>
          <bgColor rgb="FFC6EFCE"/>
        </patternFill>
      </fill>
    </dxf>
    <dxf>
      <font>
        <color auto="1"/>
      </font>
      <fill>
        <patternFill>
          <bgColor theme="4" tint="0.79998168889431442"/>
        </patternFill>
      </fill>
    </dxf>
    <dxf>
      <font>
        <color auto="1"/>
      </font>
      <fill>
        <patternFill>
          <bgColor rgb="FFC6EFCE"/>
        </patternFill>
      </fill>
    </dxf>
    <dxf>
      <font>
        <color auto="1"/>
      </font>
      <fill>
        <patternFill>
          <bgColor theme="4" tint="0.79998168889431442"/>
        </patternFill>
      </fill>
    </dxf>
    <dxf>
      <font>
        <color auto="1"/>
      </font>
      <fill>
        <patternFill>
          <bgColor rgb="FFC6EFCE"/>
        </patternFill>
      </fill>
    </dxf>
    <dxf>
      <font>
        <color auto="1"/>
      </font>
      <fill>
        <patternFill>
          <bgColor theme="4" tint="0.79998168889431442"/>
        </patternFill>
      </fill>
    </dxf>
    <dxf>
      <font>
        <color auto="1"/>
      </font>
      <fill>
        <patternFill>
          <bgColor rgb="FFC6EFCE"/>
        </patternFill>
      </fill>
    </dxf>
    <dxf>
      <font>
        <color auto="1"/>
      </font>
      <fill>
        <patternFill>
          <bgColor theme="4" tint="0.799981688894314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2"/>
        <color theme="4" tint="-0.499984740745262"/>
        <name val="Arial"/>
        <family val="2"/>
        <scheme val="none"/>
      </font>
      <border diagonalUp="0" diagonalDown="0" outline="0">
        <left style="thin">
          <color theme="3" tint="-0.499984740745262"/>
        </left>
        <right/>
        <top style="thin">
          <color theme="3" tint="-0.499984740745262"/>
        </top>
        <bottom style="thin">
          <color theme="3" tint="-0.499984740745262"/>
        </bottom>
      </border>
      <protection locked="1" hidden="1"/>
    </dxf>
    <dxf>
      <font>
        <b val="0"/>
        <i val="0"/>
        <strike val="0"/>
        <condense val="0"/>
        <extend val="0"/>
        <outline val="0"/>
        <shadow val="0"/>
        <u val="none"/>
        <vertAlign val="baseline"/>
        <sz val="12"/>
        <color theme="4" tint="-0.499984740745262"/>
        <name val="Arial"/>
        <family val="2"/>
        <scheme val="none"/>
      </font>
      <border diagonalUp="0" diagonalDown="0" outline="0">
        <left style="thin">
          <color theme="3" tint="-0.499984740745262"/>
        </left>
        <right style="thin">
          <color theme="3" tint="-0.499984740745262"/>
        </right>
        <top style="thin">
          <color theme="3" tint="-0.499984740745262"/>
        </top>
        <bottom style="thin">
          <color theme="3" tint="-0.499984740745262"/>
        </bottom>
      </border>
      <protection locked="1" hidden="1"/>
    </dxf>
    <dxf>
      <font>
        <b val="0"/>
        <i val="0"/>
        <strike val="0"/>
        <condense val="0"/>
        <extend val="0"/>
        <outline val="0"/>
        <shadow val="0"/>
        <u val="none"/>
        <vertAlign val="baseline"/>
        <sz val="12"/>
        <color theme="4" tint="-0.499984740745262"/>
        <name val="Arial"/>
        <family val="2"/>
        <scheme val="none"/>
      </font>
      <numFmt numFmtId="167" formatCode="_-* #,##0\ &quot;€&quot;_-;\-* #,##0\ &quot;€&quot;_-;_-* &quot;-&quot;??\ &quot;€&quot;_-;_-@_-"/>
      <border diagonalUp="0" diagonalDown="0" outline="0">
        <left/>
        <right style="thin">
          <color theme="3" tint="-0.499984740745262"/>
        </right>
        <top style="thin">
          <color theme="3" tint="-0.499984740745262"/>
        </top>
        <bottom style="thin">
          <color theme="3" tint="-0.499984740745262"/>
        </bottom>
      </border>
      <protection locked="1" hidden="1"/>
    </dxf>
    <dxf>
      <border>
        <top style="thin">
          <color theme="3" tint="-0.499984740745262"/>
        </top>
      </border>
    </dxf>
    <dxf>
      <border diagonalUp="0" diagonalDown="0">
        <left style="thin">
          <color theme="3" tint="-0.499984740745262"/>
        </left>
        <right style="thin">
          <color theme="3" tint="-0.499984740745262"/>
        </right>
        <top style="thin">
          <color theme="3" tint="-0.499984740745262"/>
        </top>
        <bottom style="thin">
          <color theme="3" tint="-0.499984740745262"/>
        </bottom>
      </border>
    </dxf>
    <dxf>
      <font>
        <strike val="0"/>
        <outline val="0"/>
        <shadow val="0"/>
        <u val="none"/>
        <vertAlign val="baseline"/>
        <sz val="12"/>
        <color theme="4" tint="-0.499984740745262"/>
        <name val="Arial"/>
        <family val="2"/>
        <scheme val="none"/>
      </font>
      <protection locked="1" hidden="1"/>
    </dxf>
    <dxf>
      <border>
        <bottom style="thin">
          <color theme="3" tint="-0.499984740745262"/>
        </bottom>
      </border>
    </dxf>
    <dxf>
      <font>
        <b/>
        <strike val="0"/>
        <outline val="0"/>
        <shadow val="0"/>
        <u val="none"/>
        <vertAlign val="baseline"/>
        <sz val="12"/>
        <color theme="0"/>
        <name val="Arial"/>
        <family val="2"/>
        <scheme val="none"/>
      </font>
      <fill>
        <patternFill patternType="solid">
          <fgColor indexed="64"/>
          <bgColor theme="4" tint="-0.499984740745262"/>
        </patternFill>
      </fill>
      <border diagonalUp="0" diagonalDown="0">
        <left style="thin">
          <color theme="3" tint="-0.499984740745262"/>
        </left>
        <right style="thin">
          <color theme="3" tint="-0.499984740745262"/>
        </right>
        <top/>
        <bottom/>
        <vertical style="thin">
          <color theme="3" tint="-0.499984740745262"/>
        </vertical>
        <horizontal style="thin">
          <color theme="3" tint="-0.499984740745262"/>
        </horizontal>
      </border>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35" formatCode="_-* #,##0.00_-;\-* #,##0.00_-;_-* &quot;-&quot;??_-;_-@_-"/>
      <protection locked="1" hidden="1"/>
    </dxf>
    <dxf>
      <font>
        <b val="0"/>
        <i val="0"/>
        <strike val="0"/>
        <condense val="0"/>
        <extend val="0"/>
        <outline val="0"/>
        <shadow val="0"/>
        <u val="none"/>
        <vertAlign val="baseline"/>
        <sz val="8"/>
        <color auto="1"/>
        <name val="Arial"/>
        <family val="2"/>
        <scheme val="none"/>
      </font>
      <numFmt numFmtId="165" formatCode="#.00\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0"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0"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64" formatCode="#\ ###"/>
      <protection locked="1" hidden="1"/>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font>
        <b val="0"/>
        <i val="0"/>
        <strike val="0"/>
        <condense val="0"/>
        <extend val="0"/>
        <outline val="0"/>
        <shadow val="0"/>
        <u val="none"/>
        <vertAlign val="baseline"/>
        <sz val="8"/>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right" vertical="center" textRotation="0" wrapText="0" indent="0" justifyLastLine="0" shrinkToFit="0" readingOrder="0"/>
      <protection locked="1" hidden="1"/>
    </dxf>
    <dxf>
      <border diagonalUp="0" diagonalDown="0">
        <left style="medium">
          <color theme="4" tint="-0.499984740745262"/>
        </left>
        <right style="medium">
          <color theme="4" tint="-0.499984740745262"/>
        </right>
        <top style="medium">
          <color theme="4" tint="-0.499984740745262"/>
        </top>
        <bottom style="medium">
          <color theme="4" tint="-0.499984740745262"/>
        </bottom>
      </border>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protection locked="1" hidden="1"/>
    </dxf>
    <dxf>
      <border outline="0">
        <bottom style="thin">
          <color rgb="FFFF6600"/>
        </bottom>
      </border>
    </dxf>
    <dxf>
      <font>
        <b val="0"/>
        <i val="0"/>
        <strike val="0"/>
        <condense val="0"/>
        <extend val="0"/>
        <outline val="0"/>
        <shadow val="0"/>
        <u val="none"/>
        <vertAlign val="baseline"/>
        <sz val="8"/>
        <color auto="1"/>
        <name val="Arial"/>
        <family val="2"/>
        <scheme val="none"/>
      </font>
      <numFmt numFmtId="164" formatCode="#\ ###"/>
      <fill>
        <patternFill patternType="none">
          <fgColor indexed="64"/>
          <bgColor indexed="65"/>
        </patternFill>
      </fill>
      <border diagonalUp="0" diagonalDown="0">
        <left style="thin">
          <color theme="4" tint="-0.499984740745262"/>
        </left>
        <right style="thin">
          <color theme="4" tint="-0.499984740745262"/>
        </right>
        <top/>
        <bottom/>
        <vertical style="thin">
          <color theme="4" tint="-0.499984740745262"/>
        </vertical>
        <horizontal style="thin">
          <color theme="4" tint="-0.499984740745262"/>
        </horizontal>
      </border>
      <protection locked="1" hidden="1"/>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35" formatCode="_-* #,##0.00_-;\-* #,##0.00_-;_-* &quot;-&quot;??_-;_-@_-"/>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73" formatCode="_-* #,##0_-;\-* #,##0_-;_-* &quot;-&quot;??_-;_-@_-"/>
      <fill>
        <patternFill patternType="solid">
          <fgColor indexed="64"/>
          <bgColor theme="0"/>
        </patternFill>
      </fill>
      <alignment horizontal="left" vertical="bottom" textRotation="0" wrapText="0" indent="0" justifyLastLine="0" shrinkToFit="0" readingOrder="0"/>
      <border diagonalUp="0" diagonalDown="0">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ova"/>
        <family val="2"/>
        <scheme val="none"/>
      </font>
      <numFmt numFmtId="173" formatCode="_-* #,##0_-;\-* #,##0_-;_-* &quot;-&quot;??_-;_-@_-"/>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auto="1"/>
        </top>
      </border>
    </dxf>
    <dxf>
      <font>
        <strike val="0"/>
        <outline val="0"/>
        <shadow val="0"/>
        <u val="none"/>
        <vertAlign val="baseline"/>
        <sz val="9"/>
        <name val="Arial Nova"/>
        <family val="2"/>
        <scheme val="none"/>
      </font>
      <border diagonalUp="0" diagonalDown="0">
        <left style="thin">
          <color auto="1"/>
        </left>
        <right style="thin">
          <color auto="1"/>
        </right>
        <top/>
        <bottom/>
        <vertical style="thin">
          <color auto="1"/>
        </vertical>
        <horizontal style="thin">
          <color auto="1"/>
        </horizontal>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9"/>
        <color theme="1"/>
        <name val="Arial Nova"/>
        <family val="2"/>
        <scheme val="none"/>
      </font>
      <fill>
        <patternFill patternType="solid">
          <fgColor indexed="64"/>
          <bgColor theme="0"/>
        </patternFill>
      </fill>
    </dxf>
    <dxf>
      <border>
        <bottom style="thin">
          <color auto="1"/>
        </bottom>
      </border>
    </dxf>
    <dxf>
      <font>
        <b/>
        <i val="0"/>
        <strike val="0"/>
        <condense val="0"/>
        <extend val="0"/>
        <outline val="0"/>
        <shadow val="0"/>
        <u val="none"/>
        <vertAlign val="baseline"/>
        <sz val="9"/>
        <color theme="0"/>
        <name val="Arial Nova"/>
        <family val="2"/>
        <scheme val="none"/>
      </font>
      <fill>
        <patternFill patternType="solid">
          <fgColor indexed="64"/>
          <bgColor theme="4" tint="-0.499984740745262"/>
        </patternFill>
      </fill>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66666"/>
      <rgbColor rgb="00FFFFFF"/>
      <rgbColor rgb="00FFFFFF"/>
      <rgbColor rgb="00666666"/>
      <rgbColor rgb="00FF6600"/>
      <rgbColor rgb="00BDBDBD"/>
      <rgbColor rgb="00F0F0F0"/>
      <rgbColor rgb="00FF6600"/>
      <rgbColor rgb="00FF6600"/>
      <rgbColor rgb="00FF6600"/>
      <rgbColor rgb="00FF6600"/>
      <rgbColor rgb="00FF6600"/>
      <rgbColor rgb="00FFFFFF"/>
      <rgbColor rgb="00FF6600"/>
      <rgbColor rgb="00FFFFFF"/>
      <rgbColor rgb="00FF6600"/>
      <rgbColor rgb="00FFC197"/>
      <rgbColor rgb="00000000"/>
      <rgbColor rgb="00000000"/>
      <rgbColor rgb="00000000"/>
      <rgbColor rgb="00000000"/>
      <rgbColor rgb="00000000"/>
      <rgbColor rgb="00000000"/>
      <rgbColor rgb="00000000"/>
      <rgbColor rgb="00000000"/>
      <rgbColor rgb="00000000"/>
      <rgbColor rgb="00000000"/>
      <rgbColor rgb="00000000"/>
      <rgbColor rgb="00000000"/>
      <rgbColor rgb="00000000"/>
      <rgbColor rgb="00000000"/>
      <rgbColor rgb="00000000"/>
      <rgbColor rgb="00FFFFFF"/>
      <rgbColor rgb="00000000"/>
      <rgbColor rgb="001E1E1E"/>
      <rgbColor rgb="003C3C3C"/>
      <rgbColor rgb="005A5A5A"/>
      <rgbColor rgb="00787878"/>
      <rgbColor rgb="00B4B4B4"/>
      <rgbColor rgb="00DCDCDC"/>
      <rgbColor rgb="00FFFFFF"/>
      <rgbColor rgb="00FFFFFF"/>
      <rgbColor rgb="00FFFFFF"/>
      <rgbColor rgb="00FFFFFF"/>
      <rgbColor rgb="00FFFFFF"/>
      <rgbColor rgb="00FF6600"/>
      <rgbColor rgb="00FF6600"/>
      <rgbColor rgb="00FFFFFF"/>
      <rgbColor rgb="00FF6600"/>
      <rgbColor rgb="00FFFFFF"/>
      <rgbColor rgb="00FF6600"/>
      <rgbColor rgb="00FF6600"/>
      <rgbColor rgb="00FF6600"/>
      <rgbColor rgb="00FFFFFF"/>
      <rgbColor rgb="00FF6600"/>
      <rgbColor rgb="00FF6600"/>
    </indexedColors>
    <mruColors>
      <color rgb="FFFF6600"/>
      <color rgb="FFFFFFFF"/>
      <color rgb="FFFF3300"/>
      <color rgb="FF6B6989"/>
      <color rgb="FFCCCCFF"/>
      <color rgb="FFFFC7CE"/>
      <color rgb="FF5B6171"/>
      <color rgb="FFF2F2F2"/>
      <color rgb="FFA4715F"/>
      <color rgb="FFE56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r>
              <a:rPr lang="en-US" sz="1200"/>
              <a:t>Vermögen / Verbindlichkeiten</a:t>
            </a:r>
          </a:p>
        </c:rich>
      </c:tx>
      <c:layout>
        <c:manualLayout>
          <c:xMode val="edge"/>
          <c:yMode val="edge"/>
          <c:x val="0.11151885039831334"/>
          <c:y val="3.3214709371292998E-2"/>
        </c:manualLayout>
      </c:layout>
      <c:overlay val="0"/>
      <c:spPr>
        <a:noFill/>
        <a:ln>
          <a:noFill/>
        </a:ln>
        <a:effectLst/>
      </c:spPr>
      <c:txPr>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percentStacked"/>
        <c:varyColors val="0"/>
        <c:ser>
          <c:idx val="0"/>
          <c:order val="0"/>
          <c:tx>
            <c:strRef>
              <c:f>'Einkommens &amp; Vermögensbilanz'!$J$30</c:f>
              <c:strCache>
                <c:ptCount val="1"/>
                <c:pt idx="0">
                  <c:v>Vermögen</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'Einkommens &amp; Vermögensbilanz'!$K$29:$L$29</c:f>
              <c:strCache>
                <c:ptCount val="2"/>
                <c:pt idx="0">
                  <c:v>Vermögen</c:v>
                </c:pt>
                <c:pt idx="1">
                  <c:v>Überschuss / Verbindlichkeiten</c:v>
                </c:pt>
              </c:strCache>
            </c:strRef>
          </c:cat>
          <c:val>
            <c:numRef>
              <c:f>'Einkommens &amp; Vermögensbilanz'!$K$30:$L$30</c:f>
              <c:numCache>
                <c:formatCode>General</c:formatCode>
                <c:ptCount val="2"/>
                <c:pt idx="0" formatCode="_-* #,##0\ [$€-407]_-;\-* #,##0\ [$€-407]_-;_-* &quot;-&quot;??\ [$€-407]_-;_-@_-">
                  <c:v>0</c:v>
                </c:pt>
              </c:numCache>
            </c:numRef>
          </c:val>
          <c:extLst>
            <c:ext xmlns:c16="http://schemas.microsoft.com/office/drawing/2014/chart" uri="{C3380CC4-5D6E-409C-BE32-E72D297353CC}">
              <c16:uniqueId val="{00000000-3FA0-44B4-A846-C3F60C96496C}"/>
            </c:ext>
          </c:extLst>
        </c:ser>
        <c:ser>
          <c:idx val="1"/>
          <c:order val="1"/>
          <c:tx>
            <c:strRef>
              <c:f>'Einkommens &amp; Vermögensbilanz'!$J$31</c:f>
              <c:strCache>
                <c:ptCount val="1"/>
                <c:pt idx="0">
                  <c:v>Verbindlichkeiten</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'Einkommens &amp; Vermögensbilanz'!$K$29:$L$29</c:f>
              <c:strCache>
                <c:ptCount val="2"/>
                <c:pt idx="0">
                  <c:v>Vermögen</c:v>
                </c:pt>
                <c:pt idx="1">
                  <c:v>Überschuss / Verbindlichkeiten</c:v>
                </c:pt>
              </c:strCache>
            </c:strRef>
          </c:cat>
          <c:val>
            <c:numRef>
              <c:f>'Einkommens &amp; Vermögensbilanz'!$K$31:$L$31</c:f>
              <c:numCache>
                <c:formatCode>_-* #,##0\ [$€-407]_-;\-* #,##0\ [$€-407]_-;_-* "-"??\ [$€-407]_-;_-@_-</c:formatCode>
                <c:ptCount val="2"/>
                <c:pt idx="1">
                  <c:v>0</c:v>
                </c:pt>
              </c:numCache>
            </c:numRef>
          </c:val>
          <c:extLst>
            <c:ext xmlns:c16="http://schemas.microsoft.com/office/drawing/2014/chart" uri="{C3380CC4-5D6E-409C-BE32-E72D297353CC}">
              <c16:uniqueId val="{00000001-3FA0-44B4-A846-C3F60C96496C}"/>
            </c:ext>
          </c:extLst>
        </c:ser>
        <c:ser>
          <c:idx val="2"/>
          <c:order val="2"/>
          <c:tx>
            <c:strRef>
              <c:f>'Einkommens &amp; Vermögensbilanz'!$J$32</c:f>
              <c:strCache>
                <c:ptCount val="1"/>
                <c:pt idx="0">
                  <c:v>Überschuss</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'Einkommens &amp; Vermögensbilanz'!$K$29:$L$29</c:f>
              <c:strCache>
                <c:ptCount val="2"/>
                <c:pt idx="0">
                  <c:v>Vermögen</c:v>
                </c:pt>
                <c:pt idx="1">
                  <c:v>Überschuss / Verbindlichkeiten</c:v>
                </c:pt>
              </c:strCache>
            </c:strRef>
          </c:cat>
          <c:val>
            <c:numRef>
              <c:f>'Einkommens &amp; Vermögensbilanz'!$K$32:$L$32</c:f>
              <c:numCache>
                <c:formatCode>_-* #,##0\ "€"_-;\-* #,##0\ "€"_-;_-* "-"??\ "€"_-;_-@_-</c:formatCode>
                <c:ptCount val="2"/>
                <c:pt idx="1">
                  <c:v>0</c:v>
                </c:pt>
              </c:numCache>
            </c:numRef>
          </c:val>
          <c:extLst>
            <c:ext xmlns:c16="http://schemas.microsoft.com/office/drawing/2014/chart" uri="{C3380CC4-5D6E-409C-BE32-E72D297353CC}">
              <c16:uniqueId val="{00000002-3FA0-44B4-A846-C3F60C96496C}"/>
            </c:ext>
          </c:extLst>
        </c:ser>
        <c:dLbls>
          <c:dLblPos val="ctr"/>
          <c:showLegendKey val="0"/>
          <c:showVal val="1"/>
          <c:showCatName val="0"/>
          <c:showSerName val="0"/>
          <c:showPercent val="0"/>
          <c:showBubbleSize val="0"/>
        </c:dLbls>
        <c:gapWidth val="79"/>
        <c:overlap val="100"/>
        <c:axId val="874931136"/>
        <c:axId val="873608368"/>
      </c:barChart>
      <c:catAx>
        <c:axId val="874931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de-DE"/>
          </a:p>
        </c:txPr>
        <c:crossAx val="873608368"/>
        <c:crosses val="autoZero"/>
        <c:auto val="1"/>
        <c:lblAlgn val="ctr"/>
        <c:lblOffset val="100"/>
        <c:noMultiLvlLbl val="0"/>
      </c:catAx>
      <c:valAx>
        <c:axId val="873608368"/>
        <c:scaling>
          <c:orientation val="minMax"/>
        </c:scaling>
        <c:delete val="1"/>
        <c:axPos val="l"/>
        <c:numFmt formatCode="0%" sourceLinked="1"/>
        <c:majorTickMark val="none"/>
        <c:minorTickMark val="none"/>
        <c:tickLblPos val="nextTo"/>
        <c:crossAx val="874931136"/>
        <c:crosses val="autoZero"/>
        <c:crossBetween val="between"/>
      </c:valAx>
      <c:spPr>
        <a:noFill/>
        <a:ln w="25400">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no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r>
              <a:rPr lang="en-US" sz="1200"/>
              <a:t>Einnahmen / Ausgaben</a:t>
            </a:r>
          </a:p>
        </c:rich>
      </c:tx>
      <c:overlay val="0"/>
      <c:spPr>
        <a:noFill/>
        <a:ln>
          <a:noFill/>
        </a:ln>
        <a:effectLst/>
      </c:spPr>
      <c:txPr>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percentStacked"/>
        <c:varyColors val="0"/>
        <c:ser>
          <c:idx val="0"/>
          <c:order val="0"/>
          <c:tx>
            <c:strRef>
              <c:f>'Einkommens &amp; Vermögensbilanz'!$J$38</c:f>
              <c:strCache>
                <c:ptCount val="1"/>
                <c:pt idx="0">
                  <c:v>Einnahmen</c:v>
                </c:pt>
              </c:strCache>
            </c:strRef>
          </c:tx>
          <c:spPr>
            <a:solidFill>
              <a:srgbClr val="0070C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'Einkommens &amp; Vermögensbilanz'!$K$37:$L$37</c:f>
              <c:strCache>
                <c:ptCount val="2"/>
                <c:pt idx="0">
                  <c:v>Einnahmen</c:v>
                </c:pt>
                <c:pt idx="1">
                  <c:v>Überschuss / Ausgaben</c:v>
                </c:pt>
              </c:strCache>
            </c:strRef>
          </c:cat>
          <c:val>
            <c:numRef>
              <c:f>'Einkommens &amp; Vermögensbilanz'!$K$38:$L$38</c:f>
              <c:numCache>
                <c:formatCode>General</c:formatCode>
                <c:ptCount val="2"/>
                <c:pt idx="0" formatCode="_-* #,##0\ &quot;€&quot;_-;\-* #,##0\ &quot;€&quot;_-;_-* &quot;-&quot;??\ &quot;€&quot;_-;_-@_-">
                  <c:v>0</c:v>
                </c:pt>
              </c:numCache>
            </c:numRef>
          </c:val>
          <c:extLst>
            <c:ext xmlns:c16="http://schemas.microsoft.com/office/drawing/2014/chart" uri="{C3380CC4-5D6E-409C-BE32-E72D297353CC}">
              <c16:uniqueId val="{00000000-E6D9-4369-9C4A-E5ED77BFD850}"/>
            </c:ext>
          </c:extLst>
        </c:ser>
        <c:ser>
          <c:idx val="1"/>
          <c:order val="1"/>
          <c:tx>
            <c:strRef>
              <c:f>'Einkommens &amp; Vermögensbilanz'!$J$39</c:f>
              <c:strCache>
                <c:ptCount val="1"/>
                <c:pt idx="0">
                  <c:v>Ausgaben</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'Einkommens &amp; Vermögensbilanz'!$K$37:$L$37</c:f>
              <c:strCache>
                <c:ptCount val="2"/>
                <c:pt idx="0">
                  <c:v>Einnahmen</c:v>
                </c:pt>
                <c:pt idx="1">
                  <c:v>Überschuss / Ausgaben</c:v>
                </c:pt>
              </c:strCache>
            </c:strRef>
          </c:cat>
          <c:val>
            <c:numRef>
              <c:f>'Einkommens &amp; Vermögensbilanz'!$K$39:$L$39</c:f>
              <c:numCache>
                <c:formatCode>_-* #,##0\ "€"_-;\-* #,##0\ "€"_-;_-* "-"??\ "€"_-;_-@_-</c:formatCode>
                <c:ptCount val="2"/>
                <c:pt idx="1">
                  <c:v>0</c:v>
                </c:pt>
              </c:numCache>
            </c:numRef>
          </c:val>
          <c:extLst>
            <c:ext xmlns:c16="http://schemas.microsoft.com/office/drawing/2014/chart" uri="{C3380CC4-5D6E-409C-BE32-E72D297353CC}">
              <c16:uniqueId val="{00000001-E6D9-4369-9C4A-E5ED77BFD850}"/>
            </c:ext>
          </c:extLst>
        </c:ser>
        <c:ser>
          <c:idx val="2"/>
          <c:order val="2"/>
          <c:tx>
            <c:strRef>
              <c:f>'Einkommens &amp; Vermögensbilanz'!$J$40</c:f>
              <c:strCache>
                <c:ptCount val="1"/>
                <c:pt idx="0">
                  <c:v>Überschuss</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'Einkommens &amp; Vermögensbilanz'!$K$37:$L$37</c:f>
              <c:strCache>
                <c:ptCount val="2"/>
                <c:pt idx="0">
                  <c:v>Einnahmen</c:v>
                </c:pt>
                <c:pt idx="1">
                  <c:v>Überschuss / Ausgaben</c:v>
                </c:pt>
              </c:strCache>
            </c:strRef>
          </c:cat>
          <c:val>
            <c:numRef>
              <c:f>'Einkommens &amp; Vermögensbilanz'!$K$40:$L$40</c:f>
              <c:numCache>
                <c:formatCode>_-* #,##0\ "€"_-;\-* #,##0\ "€"_-;_-* "-"??\ "€"_-;_-@_-</c:formatCode>
                <c:ptCount val="2"/>
                <c:pt idx="1">
                  <c:v>0</c:v>
                </c:pt>
              </c:numCache>
            </c:numRef>
          </c:val>
          <c:extLst>
            <c:ext xmlns:c16="http://schemas.microsoft.com/office/drawing/2014/chart" uri="{C3380CC4-5D6E-409C-BE32-E72D297353CC}">
              <c16:uniqueId val="{00000002-E6D9-4369-9C4A-E5ED77BFD850}"/>
            </c:ext>
          </c:extLst>
        </c:ser>
        <c:dLbls>
          <c:dLblPos val="ctr"/>
          <c:showLegendKey val="0"/>
          <c:showVal val="1"/>
          <c:showCatName val="0"/>
          <c:showSerName val="0"/>
          <c:showPercent val="0"/>
          <c:showBubbleSize val="0"/>
        </c:dLbls>
        <c:gapWidth val="79"/>
        <c:overlap val="100"/>
        <c:axId val="874931136"/>
        <c:axId val="873608368"/>
      </c:barChart>
      <c:catAx>
        <c:axId val="874931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de-DE"/>
          </a:p>
        </c:txPr>
        <c:crossAx val="873608368"/>
        <c:crosses val="autoZero"/>
        <c:auto val="1"/>
        <c:lblAlgn val="ctr"/>
        <c:lblOffset val="100"/>
        <c:noMultiLvlLbl val="0"/>
      </c:catAx>
      <c:valAx>
        <c:axId val="873608368"/>
        <c:scaling>
          <c:orientation val="minMax"/>
        </c:scaling>
        <c:delete val="1"/>
        <c:axPos val="l"/>
        <c:numFmt formatCode="0%" sourceLinked="1"/>
        <c:majorTickMark val="none"/>
        <c:minorTickMark val="none"/>
        <c:tickLblPos val="nextTo"/>
        <c:crossAx val="874931136"/>
        <c:crosses val="autoZero"/>
        <c:crossBetween val="between"/>
      </c:valAx>
      <c:spPr>
        <a:noFill/>
        <a:ln w="25400">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19050" cap="flat" cmpd="sng" algn="ctr">
      <a:no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de-DE"/>
              <a:t>Rentenlücke gesamt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percentStacked"/>
        <c:varyColors val="0"/>
        <c:ser>
          <c:idx val="0"/>
          <c:order val="0"/>
          <c:tx>
            <c:strRef>
              <c:f>Rentenlücke!$J$74</c:f>
              <c:strCache>
                <c:ptCount val="1"/>
                <c:pt idx="0">
                  <c:v>Wunschrente</c:v>
                </c:pt>
              </c:strCache>
            </c:strRef>
          </c:tx>
          <c:spPr>
            <a:solidFill>
              <a:srgbClr val="FFC0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Rentenlücke!$K$73:$L$73</c:f>
              <c:strCache>
                <c:ptCount val="2"/>
                <c:pt idx="0">
                  <c:v>Wunsch</c:v>
                </c:pt>
                <c:pt idx="1">
                  <c:v>Realität</c:v>
                </c:pt>
              </c:strCache>
            </c:strRef>
          </c:cat>
          <c:val>
            <c:numRef>
              <c:f>Rentenlücke!$K$74:$L$74</c:f>
              <c:numCache>
                <c:formatCode>General</c:formatCode>
                <c:ptCount val="2"/>
                <c:pt idx="0" formatCode="_-* #,##0\ [$€-407]_-;\-* #,##0\ [$€-407]_-;_-* &quot;-&quot;??\ [$€-407]_-;_-@_-">
                  <c:v>0</c:v>
                </c:pt>
              </c:numCache>
            </c:numRef>
          </c:val>
          <c:extLst>
            <c:ext xmlns:c16="http://schemas.microsoft.com/office/drawing/2014/chart" uri="{C3380CC4-5D6E-409C-BE32-E72D297353CC}">
              <c16:uniqueId val="{00000000-E010-4FD3-A860-10E0BEE37F4E}"/>
            </c:ext>
          </c:extLst>
        </c:ser>
        <c:ser>
          <c:idx val="1"/>
          <c:order val="1"/>
          <c:tx>
            <c:strRef>
              <c:f>Rentenlücke!$J$75</c:f>
              <c:strCache>
                <c:ptCount val="1"/>
                <c:pt idx="0">
                  <c:v>Zu erwartende Kaufkraft</c:v>
                </c:pt>
              </c:strCache>
            </c:strRef>
          </c:tx>
          <c:spPr>
            <a:solidFill>
              <a:srgbClr val="00B05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Rentenlücke!$K$73:$L$73</c:f>
              <c:strCache>
                <c:ptCount val="2"/>
                <c:pt idx="0">
                  <c:v>Wunsch</c:v>
                </c:pt>
                <c:pt idx="1">
                  <c:v>Realität</c:v>
                </c:pt>
              </c:strCache>
            </c:strRef>
          </c:cat>
          <c:val>
            <c:numRef>
              <c:f>Rentenlücke!$K$75:$L$75</c:f>
              <c:numCache>
                <c:formatCode>_-* #,##0\ [$€-407]_-;\-* #,##0\ [$€-407]_-;_-* "-"??\ [$€-407]_-;_-@_-</c:formatCode>
                <c:ptCount val="2"/>
                <c:pt idx="1">
                  <c:v>#N/A</c:v>
                </c:pt>
              </c:numCache>
            </c:numRef>
          </c:val>
          <c:extLst>
            <c:ext xmlns:c16="http://schemas.microsoft.com/office/drawing/2014/chart" uri="{C3380CC4-5D6E-409C-BE32-E72D297353CC}">
              <c16:uniqueId val="{00000001-E010-4FD3-A860-10E0BEE37F4E}"/>
            </c:ext>
          </c:extLst>
        </c:ser>
        <c:ser>
          <c:idx val="2"/>
          <c:order val="2"/>
          <c:tx>
            <c:strRef>
              <c:f>Rentenlücke!$J$76</c:f>
              <c:strCache>
                <c:ptCount val="1"/>
                <c:pt idx="0">
                  <c:v>Rentenlücke</c:v>
                </c:pt>
              </c:strCache>
            </c:strRef>
          </c:tx>
          <c:spPr>
            <a:solidFill>
              <a:srgbClr val="FF66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Rentenlücke!$K$73:$L$73</c:f>
              <c:strCache>
                <c:ptCount val="2"/>
                <c:pt idx="0">
                  <c:v>Wunsch</c:v>
                </c:pt>
                <c:pt idx="1">
                  <c:v>Realität</c:v>
                </c:pt>
              </c:strCache>
            </c:strRef>
          </c:cat>
          <c:val>
            <c:numRef>
              <c:f>Rentenlücke!$K$76:$L$76</c:f>
              <c:numCache>
                <c:formatCode>_-* #,##0\ "€"_-;\-* #,##0\ "€"_-;_-* "-"??\ "€"_-;_-@_-</c:formatCode>
                <c:ptCount val="2"/>
                <c:pt idx="1">
                  <c:v>#N/A</c:v>
                </c:pt>
              </c:numCache>
            </c:numRef>
          </c:val>
          <c:extLst>
            <c:ext xmlns:c16="http://schemas.microsoft.com/office/drawing/2014/chart" uri="{C3380CC4-5D6E-409C-BE32-E72D297353CC}">
              <c16:uniqueId val="{00000002-E010-4FD3-A860-10E0BEE37F4E}"/>
            </c:ext>
          </c:extLst>
        </c:ser>
        <c:dLbls>
          <c:dLblPos val="ctr"/>
          <c:showLegendKey val="0"/>
          <c:showVal val="1"/>
          <c:showCatName val="0"/>
          <c:showSerName val="0"/>
          <c:showPercent val="0"/>
          <c:showBubbleSize val="0"/>
        </c:dLbls>
        <c:gapWidth val="150"/>
        <c:overlap val="100"/>
        <c:axId val="874931136"/>
        <c:axId val="873608368"/>
      </c:barChart>
      <c:catAx>
        <c:axId val="874931136"/>
        <c:scaling>
          <c:orientation val="minMax"/>
        </c:scaling>
        <c:delete val="0"/>
        <c:axPos val="b"/>
        <c:numFmt formatCode="General" sourceLinked="1"/>
        <c:majorTickMark val="none"/>
        <c:minorTickMark val="none"/>
        <c:tickLblPos val="low"/>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3608368"/>
        <c:crosses val="autoZero"/>
        <c:auto val="1"/>
        <c:lblAlgn val="ctr"/>
        <c:lblOffset val="100"/>
        <c:noMultiLvlLbl val="0"/>
      </c:catAx>
      <c:valAx>
        <c:axId val="8736083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4931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Rentenlücke!$D$63</c:f>
          <c:strCache>
            <c:ptCount val="1"/>
            <c:pt idx="0">
              <c:v>Rentenlücke von </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percentStacked"/>
        <c:varyColors val="0"/>
        <c:ser>
          <c:idx val="0"/>
          <c:order val="0"/>
          <c:tx>
            <c:strRef>
              <c:f>Rentenlücke!$J$66</c:f>
              <c:strCache>
                <c:ptCount val="1"/>
                <c:pt idx="0">
                  <c:v>Wunschrente</c:v>
                </c:pt>
              </c:strCache>
            </c:strRef>
          </c:tx>
          <c:spPr>
            <a:solidFill>
              <a:schemeClr val="accent4"/>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Rentenlücke!$K$65:$L$65</c:f>
              <c:strCache>
                <c:ptCount val="2"/>
                <c:pt idx="0">
                  <c:v>Wunsch</c:v>
                </c:pt>
                <c:pt idx="1">
                  <c:v>Realität</c:v>
                </c:pt>
              </c:strCache>
            </c:strRef>
          </c:cat>
          <c:val>
            <c:numRef>
              <c:f>Rentenlücke!$K$66:$L$66</c:f>
              <c:numCache>
                <c:formatCode>General</c:formatCode>
                <c:ptCount val="2"/>
                <c:pt idx="0" formatCode="_-* #,##0\ [$€-407]_-;\-* #,##0\ [$€-407]_-;_-* &quot;-&quot;??\ [$€-407]_-;_-@_-">
                  <c:v>0</c:v>
                </c:pt>
              </c:numCache>
            </c:numRef>
          </c:val>
          <c:extLst>
            <c:ext xmlns:c16="http://schemas.microsoft.com/office/drawing/2014/chart" uri="{C3380CC4-5D6E-409C-BE32-E72D297353CC}">
              <c16:uniqueId val="{00000000-E523-4693-8558-D9C6BB2B50E9}"/>
            </c:ext>
          </c:extLst>
        </c:ser>
        <c:ser>
          <c:idx val="1"/>
          <c:order val="1"/>
          <c:tx>
            <c:strRef>
              <c:f>Rentenlücke!$J$67</c:f>
              <c:strCache>
                <c:ptCount val="1"/>
                <c:pt idx="0">
                  <c:v>Zu erwartende Kaufkraft</c:v>
                </c:pt>
              </c:strCache>
            </c:strRef>
          </c:tx>
          <c:spPr>
            <a:solidFill>
              <a:schemeClr val="accent6"/>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Rentenlücke!$K$65:$L$65</c:f>
              <c:strCache>
                <c:ptCount val="2"/>
                <c:pt idx="0">
                  <c:v>Wunsch</c:v>
                </c:pt>
                <c:pt idx="1">
                  <c:v>Realität</c:v>
                </c:pt>
              </c:strCache>
            </c:strRef>
          </c:cat>
          <c:val>
            <c:numRef>
              <c:f>Rentenlücke!$K$69:$L$69</c:f>
              <c:numCache>
                <c:formatCode>_-* #,##0\ [$€-407]_-;\-* #,##0\ [$€-407]_-;_-* "-"??\ [$€-407]_-;_-@_-</c:formatCode>
                <c:ptCount val="2"/>
                <c:pt idx="1">
                  <c:v>#N/A</c:v>
                </c:pt>
              </c:numCache>
            </c:numRef>
          </c:val>
          <c:extLst>
            <c:ext xmlns:c16="http://schemas.microsoft.com/office/drawing/2014/chart" uri="{C3380CC4-5D6E-409C-BE32-E72D297353CC}">
              <c16:uniqueId val="{00000001-E523-4693-8558-D9C6BB2B50E9}"/>
            </c:ext>
          </c:extLst>
        </c:ser>
        <c:ser>
          <c:idx val="2"/>
          <c:order val="2"/>
          <c:tx>
            <c:strRef>
              <c:f>Rentenlücke!$J$70</c:f>
              <c:strCache>
                <c:ptCount val="1"/>
                <c:pt idx="0">
                  <c:v>Rentenlücke</c:v>
                </c:pt>
              </c:strCache>
            </c:strRef>
          </c:tx>
          <c:spPr>
            <a:solidFill>
              <a:srgbClr val="FF66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Rentenlücke!$K$65:$L$65</c:f>
              <c:strCache>
                <c:ptCount val="2"/>
                <c:pt idx="0">
                  <c:v>Wunsch</c:v>
                </c:pt>
                <c:pt idx="1">
                  <c:v>Realität</c:v>
                </c:pt>
              </c:strCache>
            </c:strRef>
          </c:cat>
          <c:val>
            <c:numRef>
              <c:f>Rentenlücke!$K$70:$L$70</c:f>
              <c:numCache>
                <c:formatCode>_-* #,##0\ "€"_-;\-* #,##0\ "€"_-;_-* "-"??\ "€"_-;_-@_-</c:formatCode>
                <c:ptCount val="2"/>
                <c:pt idx="1">
                  <c:v>#N/A</c:v>
                </c:pt>
              </c:numCache>
            </c:numRef>
          </c:val>
          <c:extLst>
            <c:ext xmlns:c16="http://schemas.microsoft.com/office/drawing/2014/chart" uri="{C3380CC4-5D6E-409C-BE32-E72D297353CC}">
              <c16:uniqueId val="{00000002-E523-4693-8558-D9C6BB2B50E9}"/>
            </c:ext>
          </c:extLst>
        </c:ser>
        <c:dLbls>
          <c:dLblPos val="ctr"/>
          <c:showLegendKey val="0"/>
          <c:showVal val="1"/>
          <c:showCatName val="0"/>
          <c:showSerName val="0"/>
          <c:showPercent val="0"/>
          <c:showBubbleSize val="0"/>
        </c:dLbls>
        <c:gapWidth val="150"/>
        <c:overlap val="100"/>
        <c:axId val="874931136"/>
        <c:axId val="873608368"/>
      </c:barChart>
      <c:catAx>
        <c:axId val="874931136"/>
        <c:scaling>
          <c:orientation val="minMax"/>
        </c:scaling>
        <c:delete val="0"/>
        <c:axPos val="b"/>
        <c:numFmt formatCode="General" sourceLinked="1"/>
        <c:majorTickMark val="none"/>
        <c:minorTickMark val="none"/>
        <c:tickLblPos val="low"/>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3608368"/>
        <c:crosses val="autoZero"/>
        <c:auto val="1"/>
        <c:lblAlgn val="ctr"/>
        <c:lblOffset val="100"/>
        <c:noMultiLvlLbl val="0"/>
      </c:catAx>
      <c:valAx>
        <c:axId val="8736083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4931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Rentenlücke!$B$63</c:f>
          <c:strCache>
            <c:ptCount val="1"/>
            <c:pt idx="0">
              <c:v>Rentenlücke von </c:v>
            </c:pt>
          </c:strCache>
        </c:strRef>
      </c:tx>
      <c:overlay val="0"/>
      <c:spPr>
        <a:noFill/>
        <a:ln>
          <a:noFill/>
        </a:ln>
        <a:effectLst/>
      </c:spPr>
      <c:txPr>
        <a:bodyPr rot="0" spcFirstLastPara="1" vertOverflow="ellipsis" vert="horz" wrap="square" anchor="t" anchorCtr="0"/>
        <a:lstStyle/>
        <a:p>
          <a:pPr>
            <a:defRPr sz="1600" b="1" i="0" u="none" strike="noStrike" kern="120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percentStacked"/>
        <c:varyColors val="0"/>
        <c:ser>
          <c:idx val="0"/>
          <c:order val="0"/>
          <c:tx>
            <c:strRef>
              <c:f>Rentenlücke!$J$58</c:f>
              <c:strCache>
                <c:ptCount val="1"/>
                <c:pt idx="0">
                  <c:v>Wunschrente</c:v>
                </c:pt>
              </c:strCache>
            </c:strRef>
          </c:tx>
          <c:spPr>
            <a:solidFill>
              <a:schemeClr val="accent4"/>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Rentenlücke!$K$57:$L$57</c:f>
              <c:strCache>
                <c:ptCount val="2"/>
                <c:pt idx="0">
                  <c:v>Wunsch</c:v>
                </c:pt>
                <c:pt idx="1">
                  <c:v>Realität</c:v>
                </c:pt>
              </c:strCache>
            </c:strRef>
          </c:cat>
          <c:val>
            <c:numRef>
              <c:f>Rentenlücke!$K$58:$L$58</c:f>
              <c:numCache>
                <c:formatCode>General</c:formatCode>
                <c:ptCount val="2"/>
                <c:pt idx="0" formatCode="_-* #,##0\ [$€-407]_-;\-* #,##0\ [$€-407]_-;_-* &quot;-&quot;??\ [$€-407]_-;_-@_-">
                  <c:v>0</c:v>
                </c:pt>
              </c:numCache>
            </c:numRef>
          </c:val>
          <c:extLst>
            <c:ext xmlns:c16="http://schemas.microsoft.com/office/drawing/2014/chart" uri="{C3380CC4-5D6E-409C-BE32-E72D297353CC}">
              <c16:uniqueId val="{00000000-8C80-46F9-9CAD-4CC518060D1B}"/>
            </c:ext>
          </c:extLst>
        </c:ser>
        <c:ser>
          <c:idx val="1"/>
          <c:order val="1"/>
          <c:tx>
            <c:strRef>
              <c:f>Rentenlücke!$J$59</c:f>
              <c:strCache>
                <c:ptCount val="1"/>
                <c:pt idx="0">
                  <c:v>Zu erwartende Kaufkraft</c:v>
                </c:pt>
              </c:strCache>
            </c:strRef>
          </c:tx>
          <c:spPr>
            <a:solidFill>
              <a:schemeClr val="accent6"/>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Rentenlücke!$K$57:$L$57</c:f>
              <c:strCache>
                <c:ptCount val="2"/>
                <c:pt idx="0">
                  <c:v>Wunsch</c:v>
                </c:pt>
                <c:pt idx="1">
                  <c:v>Realität</c:v>
                </c:pt>
              </c:strCache>
            </c:strRef>
          </c:cat>
          <c:val>
            <c:numRef>
              <c:f>Rentenlücke!$K$61:$L$61</c:f>
              <c:numCache>
                <c:formatCode>_-* #,##0\ [$€-407]_-;\-* #,##0\ [$€-407]_-;_-* "-"??\ [$€-407]_-;_-@_-</c:formatCode>
                <c:ptCount val="2"/>
                <c:pt idx="1">
                  <c:v>#N/A</c:v>
                </c:pt>
              </c:numCache>
            </c:numRef>
          </c:val>
          <c:extLst>
            <c:ext xmlns:c16="http://schemas.microsoft.com/office/drawing/2014/chart" uri="{C3380CC4-5D6E-409C-BE32-E72D297353CC}">
              <c16:uniqueId val="{00000001-8C80-46F9-9CAD-4CC518060D1B}"/>
            </c:ext>
          </c:extLst>
        </c:ser>
        <c:ser>
          <c:idx val="2"/>
          <c:order val="2"/>
          <c:tx>
            <c:strRef>
              <c:f>Rentenlücke!$J$62</c:f>
              <c:strCache>
                <c:ptCount val="1"/>
                <c:pt idx="0">
                  <c:v>Rentenlücke</c:v>
                </c:pt>
              </c:strCache>
            </c:strRef>
          </c:tx>
          <c:spPr>
            <a:solidFill>
              <a:srgbClr val="FF660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Rentenlücke!$K$57:$L$57</c:f>
              <c:strCache>
                <c:ptCount val="2"/>
                <c:pt idx="0">
                  <c:v>Wunsch</c:v>
                </c:pt>
                <c:pt idx="1">
                  <c:v>Realität</c:v>
                </c:pt>
              </c:strCache>
            </c:strRef>
          </c:cat>
          <c:val>
            <c:numRef>
              <c:f>Rentenlücke!$K$62:$L$62</c:f>
              <c:numCache>
                <c:formatCode>_-* #,##0\ "€"_-;\-* #,##0\ "€"_-;_-* "-"??\ "€"_-;_-@_-</c:formatCode>
                <c:ptCount val="2"/>
                <c:pt idx="1">
                  <c:v>#N/A</c:v>
                </c:pt>
              </c:numCache>
            </c:numRef>
          </c:val>
          <c:extLst>
            <c:ext xmlns:c16="http://schemas.microsoft.com/office/drawing/2014/chart" uri="{C3380CC4-5D6E-409C-BE32-E72D297353CC}">
              <c16:uniqueId val="{00000002-8C80-46F9-9CAD-4CC518060D1B}"/>
            </c:ext>
          </c:extLst>
        </c:ser>
        <c:dLbls>
          <c:dLblPos val="ctr"/>
          <c:showLegendKey val="0"/>
          <c:showVal val="1"/>
          <c:showCatName val="0"/>
          <c:showSerName val="0"/>
          <c:showPercent val="0"/>
          <c:showBubbleSize val="0"/>
        </c:dLbls>
        <c:gapWidth val="150"/>
        <c:overlap val="100"/>
        <c:axId val="874931136"/>
        <c:axId val="873608368"/>
      </c:barChart>
      <c:catAx>
        <c:axId val="874931136"/>
        <c:scaling>
          <c:orientation val="minMax"/>
        </c:scaling>
        <c:delete val="0"/>
        <c:axPos val="b"/>
        <c:numFmt formatCode="General" sourceLinked="1"/>
        <c:majorTickMark val="none"/>
        <c:minorTickMark val="none"/>
        <c:tickLblPos val="low"/>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3608368"/>
        <c:crosses val="autoZero"/>
        <c:auto val="1"/>
        <c:lblAlgn val="ctr"/>
        <c:lblOffset val="100"/>
        <c:noMultiLvlLbl val="0"/>
      </c:catAx>
      <c:valAx>
        <c:axId val="8736083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4931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100" b="1" i="0" u="none" strike="noStrike" kern="1200" spc="0" baseline="0">
                <a:solidFill>
                  <a:schemeClr val="accent1">
                    <a:lumMod val="50000"/>
                  </a:schemeClr>
                </a:solidFill>
                <a:latin typeface="Arabic Typesetting" panose="020F0502020204030204" pitchFamily="66" charset="-78"/>
                <a:ea typeface="+mn-ea"/>
                <a:cs typeface="Arabic Typesetting" panose="020F0502020204030204" pitchFamily="66" charset="-78"/>
              </a:defRPr>
            </a:pPr>
            <a:r>
              <a:rPr lang="de-DE" sz="1100" b="1">
                <a:solidFill>
                  <a:schemeClr val="accent1">
                    <a:lumMod val="50000"/>
                  </a:schemeClr>
                </a:solidFill>
                <a:latin typeface="Arial" panose="020B0604020202020204" pitchFamily="34" charset="0"/>
                <a:cs typeface="Arial" panose="020B0604020202020204" pitchFamily="34" charset="0"/>
              </a:rPr>
              <a:t>Entwicklung Eigenaufwand / Überschuss pro Monat</a:t>
            </a:r>
          </a:p>
        </c:rich>
      </c:tx>
      <c:layout>
        <c:manualLayout>
          <c:xMode val="edge"/>
          <c:yMode val="edge"/>
          <c:x val="0.29720783685844548"/>
          <c:y val="1.4936663359825592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chemeClr val="accent1">
                  <a:lumMod val="50000"/>
                </a:schemeClr>
              </a:solidFill>
              <a:latin typeface="Arabic Typesetting" panose="020F0502020204030204" pitchFamily="66" charset="-78"/>
              <a:ea typeface="+mn-ea"/>
              <a:cs typeface="Arabic Typesetting" panose="020F0502020204030204" pitchFamily="66" charset="-78"/>
            </a:defRPr>
          </a:pPr>
          <a:endParaRPr lang="de-DE"/>
        </a:p>
      </c:txPr>
    </c:title>
    <c:autoTitleDeleted val="0"/>
    <c:plotArea>
      <c:layout>
        <c:manualLayout>
          <c:layoutTarget val="inner"/>
          <c:xMode val="edge"/>
          <c:yMode val="edge"/>
          <c:x val="8.9564426290382471E-2"/>
          <c:y val="0.17812194181605545"/>
          <c:w val="0.89583333333333337"/>
          <c:h val="0.61171057328358414"/>
        </c:manualLayout>
      </c:layout>
      <c:barChart>
        <c:barDir val="col"/>
        <c:grouping val="clustered"/>
        <c:varyColors val="0"/>
        <c:ser>
          <c:idx val="0"/>
          <c:order val="0"/>
          <c:spPr>
            <a:solidFill>
              <a:schemeClr val="accent5"/>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Ergebnistabelle!$AL$7:$AL$56</c:f>
              <c:numCache>
                <c:formatCode>#,##0</c:formatCode>
                <c:ptCount val="50"/>
                <c:pt idx="0">
                  <c:v>-207.12925849999979</c:v>
                </c:pt>
                <c:pt idx="1">
                  <c:v>-197.41232939977772</c:v>
                </c:pt>
                <c:pt idx="2">
                  <c:v>-187.48123103524782</c:v>
                </c:pt>
                <c:pt idx="3">
                  <c:v>-177.33331081491437</c:v>
                </c:pt>
                <c:pt idx="4">
                  <c:v>-166.96600325571686</c:v>
                </c:pt>
                <c:pt idx="5">
                  <c:v>-156.37683980848033</c:v>
                </c:pt>
                <c:pt idx="6">
                  <c:v>-145.56345928870164</c:v>
                </c:pt>
                <c:pt idx="7">
                  <c:v>-134.52361894419059</c:v>
                </c:pt>
                <c:pt idx="8">
                  <c:v>-123.25520619260321</c:v>
                </c:pt>
                <c:pt idx="9">
                  <c:v>-111.75625106349814</c:v>
                </c:pt>
                <c:pt idx="10">
                  <c:v>-108.84125043337917</c:v>
                </c:pt>
                <c:pt idx="11">
                  <c:v>-97.076330657254104</c:v>
                </c:pt>
                <c:pt idx="12">
                  <c:v>-85.091077555983404</c:v>
                </c:pt>
                <c:pt idx="13">
                  <c:v>-72.885165772623012</c:v>
                </c:pt>
                <c:pt idx="14">
                  <c:v>-60.458539226554571</c:v>
                </c:pt>
                <c:pt idx="15">
                  <c:v>-47.811431408055036</c:v>
                </c:pt>
                <c:pt idx="16">
                  <c:v>-34.944386814837948</c:v>
                </c:pt>
                <c:pt idx="17">
                  <c:v>-21.858283588070964</c:v>
                </c:pt>
                <c:pt idx="18">
                  <c:v>-8.5543574081207225</c:v>
                </c:pt>
                <c:pt idx="19">
                  <c:v>4.9657732868639259</c:v>
                </c:pt>
                <c:pt idx="20">
                  <c:v>18.700080693418386</c:v>
                </c:pt>
                <c:pt idx="21">
                  <c:v>32.646099577034725</c:v>
                </c:pt>
                <c:pt idx="22">
                  <c:v>46.800897675710836</c:v>
                </c:pt>
                <c:pt idx="23">
                  <c:v>61.161044496822342</c:v>
                </c:pt>
                <c:pt idx="24">
                  <c:v>75.722578427774508</c:v>
                </c:pt>
                <c:pt idx="25">
                  <c:v>90.480972077128925</c:v>
                </c:pt>
                <c:pt idx="26">
                  <c:v>105.43109575899098</c:v>
                </c:pt>
                <c:pt idx="27">
                  <c:v>1269.3494167982469</c:v>
                </c:pt>
                <c:pt idx="28">
                  <c:v>1481.0632633409023</c:v>
                </c:pt>
                <c:pt idx="29">
                  <c:v>1519.944159271324</c:v>
                </c:pt>
                <c:pt idx="30">
                  <c:v>1315.3275301139065</c:v>
                </c:pt>
                <c:pt idx="31">
                  <c:v>1356.6127774563572</c:v>
                </c:pt>
                <c:pt idx="32">
                  <c:v>1399.1548364334678</c:v>
                </c:pt>
                <c:pt idx="33">
                  <c:v>1442.9915939364216</c:v>
                </c:pt>
                <c:pt idx="34">
                  <c:v>1488.1620752885592</c:v>
                </c:pt>
                <c:pt idx="35">
                  <c:v>1534.7064784165977</c:v>
                </c:pt>
                <c:pt idx="36">
                  <c:v>1582.6662090471671</c:v>
                </c:pt>
                <c:pt idx="37">
                  <c:v>1632.0839169594299</c:v>
                </c:pt>
                <c:pt idx="38">
                  <c:v>1683.0035333254655</c:v>
                </c:pt>
                <c:pt idx="39">
                  <c:v>1735.4703091710501</c:v>
                </c:pt>
                <c:pt idx="40">
                  <c:v>1789.5308549904566</c:v>
                </c:pt>
                <c:pt idx="41">
                  <c:v>1845.2331815498831</c:v>
                </c:pt>
                <c:pt idx="42">
                  <c:v>1902.6267419151861</c:v>
                </c:pt>
                <c:pt idx="43">
                  <c:v>1961.7624747406323</c:v>
                </c:pt>
                <c:pt idx="44">
                  <c:v>2022.692848856517</c:v>
                </c:pt>
                <c:pt idx="45">
                  <c:v>2085.4719091946104</c:v>
                </c:pt>
                <c:pt idx="46">
                  <c:v>2150.1553240915669</c:v>
                </c:pt>
                <c:pt idx="47">
                  <c:v>2216.800434011639</c:v>
                </c:pt>
                <c:pt idx="48">
                  <c:v>2285.4663017312819</c:v>
                </c:pt>
                <c:pt idx="49">
                  <c:v>2356.2137640211699</c:v>
                </c:pt>
              </c:numCache>
            </c:numRef>
          </c:val>
          <c:extLst>
            <c:ext xmlns:c16="http://schemas.microsoft.com/office/drawing/2014/chart" uri="{C3380CC4-5D6E-409C-BE32-E72D297353CC}">
              <c16:uniqueId val="{00000000-1C1C-4CFC-A53A-A9C4DA1CF196}"/>
            </c:ext>
          </c:extLst>
        </c:ser>
        <c:dLbls>
          <c:showLegendKey val="0"/>
          <c:showVal val="0"/>
          <c:showCatName val="0"/>
          <c:showSerName val="0"/>
          <c:showPercent val="0"/>
          <c:showBubbleSize val="0"/>
        </c:dLbls>
        <c:gapWidth val="219"/>
        <c:overlap val="-27"/>
        <c:axId val="377862096"/>
        <c:axId val="1"/>
        <c:extLst/>
      </c:barChart>
      <c:catAx>
        <c:axId val="37786209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de-DE" b="1"/>
                  <a:t>Jahr</a:t>
                </a:r>
              </a:p>
            </c:rich>
          </c:tx>
          <c:layout>
            <c:manualLayout>
              <c:xMode val="edge"/>
              <c:yMode val="edge"/>
              <c:x val="0.5239583333333333"/>
              <c:y val="0.94107744107744107"/>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de-DE"/>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de-DE"/>
          </a:p>
        </c:txPr>
        <c:crossAx val="1"/>
        <c:crosses val="autoZero"/>
        <c:auto val="1"/>
        <c:lblAlgn val="ctr"/>
        <c:lblOffset val="5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de-DE" sz="1000" b="1"/>
                  <a:t>Euro</a:t>
                </a:r>
              </a:p>
            </c:rich>
          </c:tx>
          <c:layout>
            <c:manualLayout>
              <c:xMode val="edge"/>
              <c:yMode val="edge"/>
              <c:x val="5.0039932653496287E-2"/>
              <c:y val="3.7705494318530104E-2"/>
            </c:manualLayout>
          </c:layout>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377862096"/>
        <c:crosses val="autoZero"/>
        <c:crossBetween val="between"/>
      </c:valAx>
      <c:spPr>
        <a:noFill/>
        <a:ln>
          <a:noFill/>
        </a:ln>
        <a:effectLst/>
      </c:spPr>
    </c:plotArea>
    <c:plotVisOnly val="1"/>
    <c:dispBlanksAs val="gap"/>
    <c:showDLblsOverMax val="0"/>
  </c:chart>
  <c:spPr>
    <a:solidFill>
      <a:schemeClr val="bg1"/>
    </a:solidFill>
    <a:ln w="12700" cap="flat" cmpd="sng" algn="ctr">
      <a:solidFill>
        <a:schemeClr val="accent1">
          <a:lumMod val="50000"/>
        </a:schemeClr>
      </a:solidFill>
      <a:round/>
    </a:ln>
    <a:effectLst/>
  </c:spPr>
  <c:txPr>
    <a:bodyPr anchor="t" anchorCtr="0"/>
    <a:lstStyle/>
    <a:p>
      <a:pPr>
        <a:defRPr>
          <a:solidFill>
            <a:schemeClr val="tx1"/>
          </a:solidFill>
        </a:defRPr>
      </a:pPr>
      <a:endParaRPr lang="de-DE"/>
    </a:p>
  </c:txPr>
  <c:printSettings>
    <c:headerFooter/>
    <c:pageMargins b="0.78740157480314965" l="0.70866141732283461" r="0.70866141732283461" t="0.39370078740157483" header="0.31496062992125984" footer="0.31496062992125984"/>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2"/>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57A4-4209-9A64-7A81ED7780E6}"/>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57A4-4209-9A64-7A81ED7780E6}"/>
              </c:ext>
            </c:extLst>
          </c:dPt>
          <c:dPt>
            <c:idx val="2"/>
            <c:bubble3D val="0"/>
            <c:spPr>
              <a:solidFill>
                <a:srgbClr val="00B050"/>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57A4-4209-9A64-7A81ED7780E6}"/>
              </c:ext>
            </c:extLst>
          </c:dPt>
          <c:dLbls>
            <c:dLbl>
              <c:idx val="0"/>
              <c:layout>
                <c:manualLayout>
                  <c:x val="-4.280963406493575E-2"/>
                  <c:y val="6.9983973878508909E-2"/>
                </c:manualLayout>
              </c:layout>
              <c:tx>
                <c:rich>
                  <a:bodyPr rot="0" spcFirstLastPara="1" vertOverflow="clip" horzOverflow="clip" vert="horz" wrap="square" lIns="38100" tIns="19050" rIns="38100" bIns="19050" anchor="ctr" anchorCtr="1">
                    <a:noAutofit/>
                  </a:bodyPr>
                  <a:lstStyle/>
                  <a:p>
                    <a:pPr>
                      <a:defRPr sz="1000" b="0" i="0" u="none" strike="noStrike" kern="1200" baseline="0">
                        <a:solidFill>
                          <a:schemeClr val="accent1">
                            <a:lumMod val="50000"/>
                          </a:schemeClr>
                        </a:solidFill>
                        <a:latin typeface="+mn-lt"/>
                        <a:ea typeface="+mn-ea"/>
                        <a:cs typeface="+mn-cs"/>
                      </a:defRPr>
                    </a:pPr>
                    <a:fld id="{98D55437-0DF2-4535-A370-A30AD64DDF5C}" type="CATEGORYNAME">
                      <a:rPr lang="en-US" sz="1000">
                        <a:solidFill>
                          <a:schemeClr val="accent1">
                            <a:lumMod val="50000"/>
                          </a:schemeClr>
                        </a:solidFill>
                      </a:rPr>
                      <a:pPr>
                        <a:defRPr sz="1000">
                          <a:solidFill>
                            <a:schemeClr val="accent1">
                              <a:lumMod val="50000"/>
                            </a:schemeClr>
                          </a:solidFill>
                        </a:defRPr>
                      </a:pPr>
                      <a:t>[RUBRIKENNAME]</a:t>
                    </a:fld>
                    <a:r>
                      <a:rPr lang="en-US" sz="1000">
                        <a:solidFill>
                          <a:schemeClr val="accent1">
                            <a:lumMod val="50000"/>
                          </a:schemeClr>
                        </a:solidFill>
                      </a:rPr>
                      <a:t>: </a:t>
                    </a:r>
                    <a:fld id="{E54C03DA-593C-4FEF-B057-C45398253078}" type="VALUE">
                      <a:rPr lang="en-US" sz="1000">
                        <a:solidFill>
                          <a:schemeClr val="accent1">
                            <a:lumMod val="50000"/>
                          </a:schemeClr>
                        </a:solidFill>
                      </a:rPr>
                      <a:pPr>
                        <a:defRPr sz="1000">
                          <a:solidFill>
                            <a:schemeClr val="accent1">
                              <a:lumMod val="50000"/>
                            </a:schemeClr>
                          </a:solidFill>
                        </a:defRPr>
                      </a:pPr>
                      <a:t>[WERT]</a:t>
                    </a:fld>
                    <a:r>
                      <a:rPr lang="en-US" sz="1000">
                        <a:solidFill>
                          <a:schemeClr val="accent1">
                            <a:lumMod val="50000"/>
                          </a:schemeClr>
                        </a:solidFill>
                      </a:rPr>
                      <a:t> (</a:t>
                    </a:r>
                    <a:fld id="{06A04BC2-CE42-4B87-A039-6199B8B233D4}" type="PERCENTAGE">
                      <a:rPr lang="en-US" sz="1000">
                        <a:solidFill>
                          <a:schemeClr val="accent1">
                            <a:lumMod val="50000"/>
                          </a:schemeClr>
                        </a:solidFill>
                      </a:rPr>
                      <a:pPr>
                        <a:defRPr sz="1000">
                          <a:solidFill>
                            <a:schemeClr val="accent1">
                              <a:lumMod val="50000"/>
                            </a:schemeClr>
                          </a:solidFill>
                        </a:defRPr>
                      </a:pPr>
                      <a:t>[PROZENTSATZ]</a:t>
                    </a:fld>
                    <a:r>
                      <a:rPr lang="en-US" sz="1000">
                        <a:solidFill>
                          <a:schemeClr val="accent1">
                            <a:lumMod val="50000"/>
                          </a:schemeClr>
                        </a:solidFill>
                      </a:rPr>
                      <a:t>)</a:t>
                    </a:r>
                  </a:p>
                </c:rich>
              </c:tx>
              <c:spPr>
                <a:solidFill>
                  <a:sysClr val="window" lastClr="FFFFFF">
                    <a:alpha val="75000"/>
                  </a:sysClr>
                </a:solidFill>
                <a:ln w="9525">
                  <a:solidFill>
                    <a:srgbClr val="5B9BD5">
                      <a:lumMod val="50000"/>
                    </a:srgbClr>
                  </a:solidFill>
                </a:ln>
                <a:effectLst/>
              </c:spPr>
              <c:txPr>
                <a:bodyPr rot="0" spcFirstLastPara="1" vertOverflow="clip" horzOverflow="clip" vert="horz" wrap="square" lIns="38100" tIns="19050" rIns="38100" bIns="19050" anchor="ctr" anchorCtr="1">
                  <a:noAutofit/>
                </a:bodyPr>
                <a:lstStyle/>
                <a:p>
                  <a:pPr>
                    <a:defRPr sz="1000" b="0" i="0" u="none" strike="noStrike" kern="1200" baseline="0">
                      <a:solidFill>
                        <a:schemeClr val="accent1">
                          <a:lumMod val="50000"/>
                        </a:schemeClr>
                      </a:solidFill>
                      <a:latin typeface="+mn-lt"/>
                      <a:ea typeface="+mn-ea"/>
                      <a:cs typeface="+mn-cs"/>
                    </a:defRPr>
                  </a:pPr>
                  <a:endParaRPr lang="de-DE"/>
                </a:p>
              </c:txPr>
              <c:dLblPos val="bestFit"/>
              <c:showLegendKey val="0"/>
              <c:showVal val="1"/>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25781437389084411"/>
                      <c:h val="0.14551002110501635"/>
                    </c:manualLayout>
                  </c15:layout>
                  <c15:dlblFieldTable/>
                  <c15:showDataLabelsRange val="0"/>
                </c:ext>
                <c:ext xmlns:c16="http://schemas.microsoft.com/office/drawing/2014/chart" uri="{C3380CC4-5D6E-409C-BE32-E72D297353CC}">
                  <c16:uniqueId val="{00000001-57A4-4209-9A64-7A81ED7780E6}"/>
                </c:ext>
              </c:extLst>
            </c:dLbl>
            <c:dLbl>
              <c:idx val="1"/>
              <c:layout>
                <c:manualLayout>
                  <c:x val="2.9792882781564112E-3"/>
                  <c:y val="-0.12485482081116432"/>
                </c:manualLayout>
              </c:layout>
              <c:tx>
                <c:rich>
                  <a:bodyPr/>
                  <a:lstStyle/>
                  <a:p>
                    <a:fld id="{D0AC16BE-5232-4B93-AFAB-6327E64FBD6D}" type="CATEGORYNAME">
                      <a:rPr lang="en-US"/>
                      <a:pPr/>
                      <a:t>[RUBRIKENNAME]</a:t>
                    </a:fld>
                    <a:r>
                      <a:rPr lang="en-US"/>
                      <a:t>:</a:t>
                    </a:r>
                    <a:r>
                      <a:rPr lang="en-US" baseline="0"/>
                      <a:t> </a:t>
                    </a:r>
                    <a:fld id="{4B05D7F8-622E-42BE-A409-2196F5AEE7D6}" type="VALUE">
                      <a:rPr lang="en-US" baseline="0"/>
                      <a:pPr/>
                      <a:t>[WERT]</a:t>
                    </a:fld>
                    <a:r>
                      <a:rPr lang="en-US" baseline="0"/>
                      <a:t> (</a:t>
                    </a:r>
                    <a:fld id="{AC4B40F2-313E-4B0D-9C79-CB94765D7114}" type="PERCENTAGE">
                      <a:rPr lang="en-US" baseline="0"/>
                      <a:pPr/>
                      <a:t>[PROZENTSATZ]</a:t>
                    </a:fld>
                    <a:r>
                      <a:rPr lang="en-US" baseline="0"/>
                      <a:t>)</a:t>
                    </a:r>
                  </a:p>
                </c:rich>
              </c:tx>
              <c:dLblPos val="bestFit"/>
              <c:showLegendKey val="0"/>
              <c:showVal val="1"/>
              <c:showCatName val="1"/>
              <c:showSerName val="0"/>
              <c:showPercent val="1"/>
              <c:showBubbleSize val="0"/>
              <c:extLst>
                <c:ext xmlns:c15="http://schemas.microsoft.com/office/drawing/2012/chart" uri="{CE6537A1-D6FC-4f65-9D91-7224C49458BB}">
                  <c15:layout>
                    <c:manualLayout>
                      <c:w val="0.20899679520418971"/>
                      <c:h val="0.14754454803867742"/>
                    </c:manualLayout>
                  </c15:layout>
                  <c15:dlblFieldTable/>
                  <c15:showDataLabelsRange val="0"/>
                </c:ext>
                <c:ext xmlns:c16="http://schemas.microsoft.com/office/drawing/2014/chart" uri="{C3380CC4-5D6E-409C-BE32-E72D297353CC}">
                  <c16:uniqueId val="{00000003-57A4-4209-9A64-7A81ED7780E6}"/>
                </c:ext>
              </c:extLst>
            </c:dLbl>
            <c:dLbl>
              <c:idx val="2"/>
              <c:layout>
                <c:manualLayout>
                  <c:x val="-7.840300687074174E-2"/>
                  <c:y val="-0.18500658167574166"/>
                </c:manualLayout>
              </c:layout>
              <c:tx>
                <c:rich>
                  <a:bodyPr/>
                  <a:lstStyle/>
                  <a:p>
                    <a:fld id="{35843A4D-380C-47B6-9A8E-DBEE51C84FC1}" type="CATEGORYNAME">
                      <a:rPr lang="en-US"/>
                      <a:pPr/>
                      <a:t>[RUBRIKENNAME]</a:t>
                    </a:fld>
                    <a:r>
                      <a:rPr lang="en-US"/>
                      <a:t>:</a:t>
                    </a:r>
                    <a:r>
                      <a:rPr lang="en-US" baseline="0"/>
                      <a:t> </a:t>
                    </a:r>
                    <a:fld id="{EA684D83-A1EE-4279-8B85-0D0AC0E50E73}" type="VALUE">
                      <a:rPr lang="en-US" baseline="0"/>
                      <a:pPr/>
                      <a:t>[WERT]</a:t>
                    </a:fld>
                    <a:r>
                      <a:rPr lang="en-US" baseline="0"/>
                      <a:t> (</a:t>
                    </a:r>
                    <a:fld id="{B185B359-8695-412E-9E54-E7779D32642F}" type="PERCENTAGE">
                      <a:rPr lang="en-US" baseline="0"/>
                      <a:pPr/>
                      <a:t>[PROZENTSATZ]</a:t>
                    </a:fld>
                    <a:r>
                      <a:rPr lang="en-US" baseline="0"/>
                      <a:t>)</a:t>
                    </a:r>
                  </a:p>
                </c:rich>
              </c:tx>
              <c:dLblPos val="bestFit"/>
              <c:showLegendKey val="0"/>
              <c:showVal val="1"/>
              <c:showCatName val="1"/>
              <c:showSerName val="0"/>
              <c:showPercent val="1"/>
              <c:showBubbleSize val="0"/>
              <c:extLst>
                <c:ext xmlns:c15="http://schemas.microsoft.com/office/drawing/2012/chart" uri="{CE6537A1-D6FC-4f65-9D91-7224C49458BB}">
                  <c15:layout>
                    <c:manualLayout>
                      <c:w val="0.25464427216591051"/>
                      <c:h val="0.14927307742031889"/>
                    </c:manualLayout>
                  </c15:layout>
                  <c15:dlblFieldTable/>
                  <c15:showDataLabelsRange val="0"/>
                </c:ext>
                <c:ext xmlns:c16="http://schemas.microsoft.com/office/drawing/2014/chart" uri="{C3380CC4-5D6E-409C-BE32-E72D297353CC}">
                  <c16:uniqueId val="{00000005-57A4-4209-9A64-7A81ED7780E6}"/>
                </c:ext>
              </c:extLst>
            </c:dLbl>
            <c:spPr>
              <a:solidFill>
                <a:sysClr val="window" lastClr="FFFFFF">
                  <a:alpha val="75000"/>
                </a:sysClr>
              </a:solidFill>
              <a:ln w="9525">
                <a:solidFill>
                  <a:srgbClr val="5B9BD5">
                    <a:lumMod val="50000"/>
                  </a:srgb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accent1">
                        <a:lumMod val="50000"/>
                      </a:schemeClr>
                    </a:solidFill>
                    <a:latin typeface="+mn-lt"/>
                    <a:ea typeface="+mn-ea"/>
                    <a:cs typeface="+mn-cs"/>
                  </a:defRPr>
                </a:pPr>
                <a:endParaRPr lang="de-DE"/>
              </a:p>
            </c:txPr>
            <c:dLblPos val="inEnd"/>
            <c:showLegendKey val="0"/>
            <c:showVal val="1"/>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Bilanz!$L$5:$L$8</c15:sqref>
                  </c15:fullRef>
                </c:ext>
              </c:extLst>
              <c:f>(Bilanz!$L$5:$L$6,Bilanz!$L$8)</c:f>
              <c:strCache>
                <c:ptCount val="3"/>
                <c:pt idx="0">
                  <c:v>Miete</c:v>
                </c:pt>
                <c:pt idx="1">
                  <c:v>Steuerentlastung</c:v>
                </c:pt>
                <c:pt idx="2">
                  <c:v>Monatliche Zuzahlung</c:v>
                </c:pt>
              </c:strCache>
            </c:strRef>
          </c:cat>
          <c:val>
            <c:numRef>
              <c:extLst>
                <c:ext xmlns:c15="http://schemas.microsoft.com/office/drawing/2012/chart" uri="{02D57815-91ED-43cb-92C2-25804820EDAC}">
                  <c15:fullRef>
                    <c15:sqref>Bilanz!$M$5:$M$8</c15:sqref>
                  </c15:fullRef>
                </c:ext>
              </c:extLst>
              <c:f>(Bilanz!$M$5:$M$6,Bilanz!$M$8)</c:f>
              <c:numCache>
                <c:formatCode>_-* #,##0\ "€"_-;\-* #,##0\ "€"_-;_-* "-"??\ "€"_-;_-@_-</c:formatCode>
                <c:ptCount val="3"/>
                <c:pt idx="0">
                  <c:v>1239.5345246377826</c:v>
                </c:pt>
                <c:pt idx="1">
                  <c:v>83.259726419410057</c:v>
                </c:pt>
                <c:pt idx="2">
                  <c:v>111.75625106349798</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57A4-4209-9A64-7A81ED7780E6}"/>
            </c:ext>
          </c:extLst>
        </c:ser>
        <c:dLbls>
          <c:dLblPos val="inEnd"/>
          <c:showLegendKey val="0"/>
          <c:showVal val="0"/>
          <c:showCatName val="0"/>
          <c:showSerName val="0"/>
          <c:showPercent val="1"/>
          <c:showBubbleSize val="0"/>
          <c:showLeaderLines val="0"/>
        </c:dLbls>
        <c:firstSliceAng val="180"/>
      </c:pieChart>
      <c:spPr>
        <a:noFill/>
        <a:ln>
          <a:noFill/>
        </a:ln>
        <a:effectLst/>
      </c:spPr>
    </c:plotArea>
    <c:legend>
      <c:legendPos val="l"/>
      <c:layout>
        <c:manualLayout>
          <c:xMode val="edge"/>
          <c:yMode val="edge"/>
          <c:x val="1.942868780780452E-4"/>
          <c:y val="0.79550884580577685"/>
          <c:w val="0.27535776634602455"/>
          <c:h val="0.203443735590603"/>
        </c:manualLayout>
      </c:layout>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19050" cap="flat" cmpd="sng" algn="ctr">
      <a:no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de-DE">
                <a:solidFill>
                  <a:schemeClr val="accent1">
                    <a:lumMod val="50000"/>
                  </a:schemeClr>
                </a:solidFill>
              </a:rPr>
              <a:t>Verhältnis Investition / Gewinn</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de-DE"/>
        </a:p>
      </c:txPr>
    </c:title>
    <c:autoTitleDeleted val="0"/>
    <c:plotArea>
      <c:layout/>
      <c:barChart>
        <c:barDir val="bar"/>
        <c:grouping val="clustered"/>
        <c:varyColors val="0"/>
        <c:ser>
          <c:idx val="0"/>
          <c:order val="0"/>
          <c:tx>
            <c:strRef>
              <c:f>Bilanz!$L$23</c:f>
              <c:strCache>
                <c:ptCount val="1"/>
                <c:pt idx="0">
                  <c:v>Investition</c:v>
                </c:pt>
              </c:strCache>
            </c:strRef>
          </c:tx>
          <c:spPr>
            <a:solidFill>
              <a:srgbClr val="0070C0"/>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Bilanz!$L$24</c:f>
              <c:numCache>
                <c:formatCode>_-* #,##0\ "€"_-;\-* #,##0\ "€"_-;_-* "-"??\ "€"_-;_-@_-</c:formatCode>
                <c:ptCount val="1"/>
                <c:pt idx="0">
                  <c:v>-38052.57009963756</c:v>
                </c:pt>
              </c:numCache>
            </c:numRef>
          </c:val>
          <c:extLst>
            <c:ext xmlns:c16="http://schemas.microsoft.com/office/drawing/2014/chart" uri="{C3380CC4-5D6E-409C-BE32-E72D297353CC}">
              <c16:uniqueId val="{00000000-A97A-48CE-A341-291D569BB9FA}"/>
            </c:ext>
          </c:extLst>
        </c:ser>
        <c:ser>
          <c:idx val="1"/>
          <c:order val="1"/>
          <c:tx>
            <c:strRef>
              <c:f>Bilanz!$M$23</c:f>
              <c:strCache>
                <c:ptCount val="1"/>
                <c:pt idx="0">
                  <c:v>Möglicher steuerfreier Gewinn</c:v>
                </c:pt>
              </c:strCache>
            </c:strRef>
          </c:tx>
          <c:spPr>
            <a:solidFill>
              <a:schemeClr val="accent6"/>
            </a:solidFill>
            <a:ln>
              <a:noFill/>
            </a:ln>
            <a:effectLst>
              <a:outerShdw blurRad="57150" dist="19050" dir="5400000" algn="ctr" rotWithShape="0">
                <a:srgbClr val="000000">
                  <a:alpha val="63000"/>
                </a:srgbClr>
              </a:outerShdw>
            </a:effectLst>
          </c:spPr>
          <c:invertIfNegative val="0"/>
          <c:dPt>
            <c:idx val="0"/>
            <c:invertIfNegative val="0"/>
            <c:bubble3D val="0"/>
            <c:spPr>
              <a:solidFill>
                <a:schemeClr val="accent6"/>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A97A-48CE-A341-291D569BB9F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Bilanz!$M$24</c:f>
              <c:numCache>
                <c:formatCode>_-* #,##0\ "€"_-;\-* #,##0\ "€"_-;_-* "-"??\ "€"_-;_-@_-</c:formatCode>
                <c:ptCount val="1"/>
                <c:pt idx="0">
                  <c:v>151204.82417519795</c:v>
                </c:pt>
              </c:numCache>
            </c:numRef>
          </c:val>
          <c:extLst>
            <c:ext xmlns:c16="http://schemas.microsoft.com/office/drawing/2014/chart" uri="{C3380CC4-5D6E-409C-BE32-E72D297353CC}">
              <c16:uniqueId val="{00000003-A97A-48CE-A341-291D569BB9FA}"/>
            </c:ext>
          </c:extLst>
        </c:ser>
        <c:dLbls>
          <c:dLblPos val="outEnd"/>
          <c:showLegendKey val="0"/>
          <c:showVal val="1"/>
          <c:showCatName val="0"/>
          <c:showSerName val="0"/>
          <c:showPercent val="0"/>
          <c:showBubbleSize val="0"/>
        </c:dLbls>
        <c:gapWidth val="115"/>
        <c:overlap val="-20"/>
        <c:axId val="874931136"/>
        <c:axId val="873608368"/>
      </c:barChart>
      <c:catAx>
        <c:axId val="874931136"/>
        <c:scaling>
          <c:orientation val="minMax"/>
        </c:scaling>
        <c:delete val="1"/>
        <c:axPos val="l"/>
        <c:numFmt formatCode="General" sourceLinked="1"/>
        <c:majorTickMark val="none"/>
        <c:minorTickMark val="none"/>
        <c:tickLblPos val="nextTo"/>
        <c:crossAx val="873608368"/>
        <c:crosses val="autoZero"/>
        <c:auto val="1"/>
        <c:lblAlgn val="ctr"/>
        <c:lblOffset val="100"/>
        <c:noMultiLvlLbl val="0"/>
      </c:catAx>
      <c:valAx>
        <c:axId val="873608368"/>
        <c:scaling>
          <c:orientation val="minMax"/>
        </c:scaling>
        <c:delete val="0"/>
        <c:axPos val="b"/>
        <c:majorGridlines>
          <c:spPr>
            <a:ln w="9525" cap="flat" cmpd="sng" algn="ctr">
              <a:solidFill>
                <a:schemeClr val="tx1">
                  <a:lumMod val="15000"/>
                  <a:lumOff val="85000"/>
                </a:schemeClr>
              </a:solidFill>
              <a:round/>
            </a:ln>
            <a:effectLst/>
          </c:spPr>
        </c:majorGridlines>
        <c:numFmt formatCode="_-* #,##0\ &quot;€&quot;_-;\-* #,##0\ &quot;€&quot;_-;_-* &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4931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4"/>
          <c:dPt>
            <c:idx val="0"/>
            <c:bubble3D val="0"/>
            <c:explosion val="2"/>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BD2A-4CB7-BA7F-E31F6A580E5B}"/>
              </c:ext>
            </c:extLst>
          </c:dPt>
          <c:dPt>
            <c:idx val="1"/>
            <c:bubble3D val="0"/>
            <c:explosion val="2"/>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BD2A-4CB7-BA7F-E31F6A580E5B}"/>
              </c:ext>
            </c:extLst>
          </c:dPt>
          <c:dPt>
            <c:idx val="2"/>
            <c:bubble3D val="0"/>
            <c:spPr>
              <a:solidFill>
                <a:srgbClr val="00B050"/>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BD2A-4CB7-BA7F-E31F6A580E5B}"/>
              </c:ext>
            </c:extLst>
          </c:dPt>
          <c:dLbls>
            <c:dLbl>
              <c:idx val="0"/>
              <c:layout>
                <c:manualLayout>
                  <c:x val="-4.1502197767447742E-2"/>
                  <c:y val="4.2553396421777549E-3"/>
                </c:manualLayout>
              </c:layout>
              <c:tx>
                <c:rich>
                  <a:bodyPr/>
                  <a:lstStyle/>
                  <a:p>
                    <a:fld id="{9FF84542-00FA-4291-A8FA-DBE60CFA75E7}" type="CATEGORYNAME">
                      <a:rPr lang="en-US"/>
                      <a:pPr/>
                      <a:t>[RUBRIKENNAME]</a:t>
                    </a:fld>
                    <a:r>
                      <a:rPr lang="en-US" baseline="0"/>
                      <a:t>: </a:t>
                    </a:r>
                    <a:fld id="{35F6A15B-E3FF-4E04-9275-75DBC2E1476D}" type="VALUE">
                      <a:rPr lang="en-US" baseline="0"/>
                      <a:pPr/>
                      <a:t>[WERT]</a:t>
                    </a:fld>
                    <a:r>
                      <a:rPr lang="en-US" baseline="0"/>
                      <a:t> (</a:t>
                    </a:r>
                    <a:fld id="{BD8A7F1E-A287-4FDE-AB77-BD74D520FB59}" type="PERCENTAGE">
                      <a:rPr lang="en-US" baseline="0"/>
                      <a:pPr/>
                      <a:t>[PROZENTSATZ]</a:t>
                    </a:fld>
                    <a:r>
                      <a:rPr lang="en-US" baseline="0"/>
                      <a:t>)</a:t>
                    </a:r>
                  </a:p>
                </c:rich>
              </c:tx>
              <c:dLblPos val="bestFit"/>
              <c:showLegendKey val="0"/>
              <c:showVal val="1"/>
              <c:showCatName val="1"/>
              <c:showSerName val="0"/>
              <c:showPercent val="1"/>
              <c:showBubbleSize val="0"/>
              <c:extLst>
                <c:ext xmlns:c15="http://schemas.microsoft.com/office/drawing/2012/chart" uri="{CE6537A1-D6FC-4f65-9D91-7224C49458BB}">
                  <c15:layout>
                    <c:manualLayout>
                      <c:w val="0.31814337665623121"/>
                      <c:h val="0.15603554142888101"/>
                    </c:manualLayout>
                  </c15:layout>
                  <c15:dlblFieldTable/>
                  <c15:showDataLabelsRange val="0"/>
                </c:ext>
                <c:ext xmlns:c16="http://schemas.microsoft.com/office/drawing/2014/chart" uri="{C3380CC4-5D6E-409C-BE32-E72D297353CC}">
                  <c16:uniqueId val="{00000001-BD2A-4CB7-BA7F-E31F6A580E5B}"/>
                </c:ext>
              </c:extLst>
            </c:dLbl>
            <c:dLbl>
              <c:idx val="1"/>
              <c:layout>
                <c:manualLayout>
                  <c:x val="6.746987951807229E-2"/>
                  <c:y val="-0.12815189385730452"/>
                </c:manualLayout>
              </c:layout>
              <c:tx>
                <c:rich>
                  <a:bodyPr/>
                  <a:lstStyle/>
                  <a:p>
                    <a:fld id="{5493F174-BD65-4A41-B14B-216309A68D4D}" type="CATEGORYNAME">
                      <a:rPr lang="en-US"/>
                      <a:pPr/>
                      <a:t>[RUBRIKENNAME]</a:t>
                    </a:fld>
                    <a:r>
                      <a:rPr lang="en-US"/>
                      <a:t>:</a:t>
                    </a:r>
                    <a:r>
                      <a:rPr lang="en-US" baseline="0"/>
                      <a:t> </a:t>
                    </a:r>
                    <a:fld id="{64F11530-DD84-4865-9A14-9EEEF0D2F619}" type="VALUE">
                      <a:rPr lang="en-US" baseline="0"/>
                      <a:pPr/>
                      <a:t>[WERT]</a:t>
                    </a:fld>
                    <a:r>
                      <a:rPr lang="en-US" baseline="0"/>
                      <a:t> (</a:t>
                    </a:r>
                    <a:fld id="{C5A7CEFE-DDF1-445F-BB3E-39C4CC852D2E}" type="PERCENTAGE">
                      <a:rPr lang="en-US" baseline="0"/>
                      <a:pPr/>
                      <a:t>[PROZENTSATZ]</a:t>
                    </a:fld>
                    <a:r>
                      <a:rPr lang="en-US" baseline="0"/>
                      <a:t>)</a:t>
                    </a:r>
                  </a:p>
                </c:rich>
              </c:tx>
              <c:dLblPos val="bestFit"/>
              <c:showLegendKey val="0"/>
              <c:showVal val="1"/>
              <c:showCatName val="1"/>
              <c:showSerName val="0"/>
              <c:showPercent val="1"/>
              <c:showBubbleSize val="0"/>
              <c:extLst>
                <c:ext xmlns:c15="http://schemas.microsoft.com/office/drawing/2012/chart" uri="{CE6537A1-D6FC-4f65-9D91-7224C49458BB}">
                  <c15:layout>
                    <c:manualLayout>
                      <c:w val="0.30660063877557475"/>
                      <c:h val="0.15603554142888101"/>
                    </c:manualLayout>
                  </c15:layout>
                  <c15:dlblFieldTable/>
                  <c15:showDataLabelsRange val="0"/>
                </c:ext>
                <c:ext xmlns:c16="http://schemas.microsoft.com/office/drawing/2014/chart" uri="{C3380CC4-5D6E-409C-BE32-E72D297353CC}">
                  <c16:uniqueId val="{00000003-BD2A-4CB7-BA7F-E31F6A580E5B}"/>
                </c:ext>
              </c:extLst>
            </c:dLbl>
            <c:dLbl>
              <c:idx val="2"/>
              <c:layout>
                <c:manualLayout>
                  <c:x val="-1.9276981943522238E-2"/>
                  <c:y val="1.2793951214813748E-2"/>
                </c:manualLayout>
              </c:layout>
              <c:tx>
                <c:rich>
                  <a:bodyPr/>
                  <a:lstStyle/>
                  <a:p>
                    <a:fld id="{268C850D-C45E-4C78-B2D4-55C777E34942}" type="CATEGORYNAME">
                      <a:rPr lang="en-US"/>
                      <a:pPr/>
                      <a:t>[RUBRIKENNAME]</a:t>
                    </a:fld>
                    <a:r>
                      <a:rPr lang="en-US" baseline="0"/>
                      <a:t>: </a:t>
                    </a:r>
                    <a:fld id="{DCA204B6-4C7E-4905-A8D1-01530E64E700}" type="VALUE">
                      <a:rPr lang="en-US" baseline="0"/>
                      <a:pPr/>
                      <a:t>[WERT]</a:t>
                    </a:fld>
                    <a:r>
                      <a:rPr lang="en-US" baseline="0"/>
                      <a:t> (</a:t>
                    </a:r>
                    <a:fld id="{47ECA0FC-9019-4498-BAA8-B572E60AAFC1}" type="PERCENTAGE">
                      <a:rPr lang="en-US" baseline="0"/>
                      <a:pPr/>
                      <a:t>[PROZENTSATZ]</a:t>
                    </a:fld>
                    <a:r>
                      <a:rPr lang="en-US" baseline="0"/>
                      <a:t>)</a:t>
                    </a:r>
                  </a:p>
                </c:rich>
              </c:tx>
              <c:dLblPos val="bestFit"/>
              <c:showLegendKey val="0"/>
              <c:showVal val="1"/>
              <c:showCatName val="1"/>
              <c:showSerName val="0"/>
              <c:showPercent val="1"/>
              <c:showBubbleSize val="0"/>
              <c:extLst>
                <c:ext xmlns:c15="http://schemas.microsoft.com/office/drawing/2012/chart" uri="{CE6537A1-D6FC-4f65-9D91-7224C49458BB}">
                  <c15:layout>
                    <c:manualLayout>
                      <c:w val="0.37545887486955692"/>
                      <c:h val="0.16215174937995136"/>
                    </c:manualLayout>
                  </c15:layout>
                  <c15:dlblFieldTable/>
                  <c15:showDataLabelsRange val="0"/>
                </c:ext>
                <c:ext xmlns:c16="http://schemas.microsoft.com/office/drawing/2014/chart" uri="{C3380CC4-5D6E-409C-BE32-E72D297353CC}">
                  <c16:uniqueId val="{00000005-BD2A-4CB7-BA7F-E31F6A580E5B}"/>
                </c:ext>
              </c:extLst>
            </c:dLbl>
            <c:dLbl>
              <c:idx val="3"/>
              <c:tx>
                <c:rich>
                  <a:bodyPr/>
                  <a:lstStyle/>
                  <a:p>
                    <a:fld id="{C6B852D8-3AB0-45EF-9A30-FF735675CD29}" type="CATEGORYNAME">
                      <a:rPr lang="en-US"/>
                      <a:pPr/>
                      <a:t>[RUBRIKENNAME]</a:t>
                    </a:fld>
                    <a:r>
                      <a:rPr lang="en-US" baseline="0"/>
                      <a:t>; </a:t>
                    </a:r>
                    <a:fld id="{A167172D-CA91-412A-B1AE-0D49FE6D5980}" type="VALUE">
                      <a:rPr lang="en-US" baseline="0"/>
                      <a:pPr/>
                      <a:t>[WERT]</a:t>
                    </a:fld>
                    <a:r>
                      <a:rPr lang="en-US" baseline="0"/>
                      <a:t> (</a:t>
                    </a:r>
                    <a:fld id="{BDE2CCDA-DB3D-4EAC-AEF9-74D533259F0D}" type="PERCENTAGE">
                      <a:rPr lang="en-US" baseline="0"/>
                      <a:pPr/>
                      <a:t>[PROZENTSATZ]</a:t>
                    </a:fld>
                    <a:r>
                      <a:rPr lang="en-US" baseline="0"/>
                      <a:t>)</a:t>
                    </a:r>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A17C-4AE8-91B2-E2CA71F13869}"/>
                </c:ext>
              </c:extLst>
            </c:dLbl>
            <c:spPr>
              <a:solidFill>
                <a:sysClr val="window" lastClr="FFFFFF">
                  <a:alpha val="75000"/>
                </a:sysClr>
              </a:solidFill>
              <a:ln w="9525">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de-DE"/>
              </a:p>
            </c:txPr>
            <c:dLblPos val="bestFit"/>
            <c:showLegendKey val="0"/>
            <c:showVal val="1"/>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'Bilanz Diagramm'!$K$12:$K$15</c15:sqref>
                  </c15:fullRef>
                </c:ext>
              </c:extLst>
              <c:f>('Bilanz Diagramm'!$K$12:$K$13,'Bilanz Diagramm'!$K$15)</c:f>
              <c:strCache>
                <c:ptCount val="3"/>
                <c:pt idx="0">
                  <c:v>Miete</c:v>
                </c:pt>
                <c:pt idx="1">
                  <c:v>Steuerentlastung</c:v>
                </c:pt>
                <c:pt idx="2">
                  <c:v>Monatliche Zuzahlung</c:v>
                </c:pt>
              </c:strCache>
            </c:strRef>
          </c:cat>
          <c:val>
            <c:numRef>
              <c:extLst>
                <c:ext xmlns:c15="http://schemas.microsoft.com/office/drawing/2012/chart" uri="{02D57815-91ED-43cb-92C2-25804820EDAC}">
                  <c15:fullRef>
                    <c15:sqref>'Bilanz Diagramm'!$L$12:$L$15</c15:sqref>
                  </c15:fullRef>
                </c:ext>
              </c:extLst>
              <c:f>('Bilanz Diagramm'!$L$12:$L$13,'Bilanz Diagramm'!$L$15)</c:f>
              <c:numCache>
                <c:formatCode>_-* #,##0\ "€"_-;\-* #,##0\ "€"_-;_-* "-"??\ "€"_-;_-@_-</c:formatCode>
                <c:ptCount val="3"/>
                <c:pt idx="0">
                  <c:v>1239.5345246377826</c:v>
                </c:pt>
                <c:pt idx="1">
                  <c:v>83.259726419410057</c:v>
                </c:pt>
                <c:pt idx="2">
                  <c:v>111.75625106349798</c:v>
                </c:pt>
              </c:numCache>
            </c:numRef>
          </c:val>
          <c:extLst>
            <c:ext xmlns:c15="http://schemas.microsoft.com/office/drawing/2012/chart" uri="{02D57815-91ED-43cb-92C2-25804820EDAC}">
              <c15:categoryFilterExceptions>
                <c15:categoryFilterException>
                  <c15:sqref>'Bilanz Diagramm'!$L$14</c15:sqref>
                  <c15:explosion val="2"/>
                </c15:categoryFilterException>
              </c15:categoryFilterExceptions>
            </c:ext>
            <c:ext xmlns:c16="http://schemas.microsoft.com/office/drawing/2014/chart" uri="{C3380CC4-5D6E-409C-BE32-E72D297353CC}">
              <c16:uniqueId val="{00000006-BD2A-4CB7-BA7F-E31F6A580E5B}"/>
            </c:ext>
          </c:extLst>
        </c:ser>
        <c:dLbls>
          <c:dLblPos val="inEnd"/>
          <c:showLegendKey val="0"/>
          <c:showVal val="0"/>
          <c:showCatName val="0"/>
          <c:showSerName val="0"/>
          <c:showPercent val="1"/>
          <c:showBubbleSize val="0"/>
          <c:showLeaderLines val="0"/>
        </c:dLbls>
        <c:firstSliceAng val="18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de-DE">
                <a:solidFill>
                  <a:schemeClr val="accent1">
                    <a:lumMod val="50000"/>
                  </a:schemeClr>
                </a:solidFill>
              </a:rPr>
              <a:t>Verhältnis Investition / Gewinn</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de-DE"/>
        </a:p>
      </c:txPr>
    </c:title>
    <c:autoTitleDeleted val="0"/>
    <c:plotArea>
      <c:layout/>
      <c:barChart>
        <c:barDir val="bar"/>
        <c:grouping val="clustered"/>
        <c:varyColors val="0"/>
        <c:ser>
          <c:idx val="0"/>
          <c:order val="0"/>
          <c:tx>
            <c:v>Investition</c:v>
          </c:tx>
          <c:spPr>
            <a:solidFill>
              <a:srgbClr val="0070C0"/>
            </a:soli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'Vergleich Sparplan'!$B$40</c:f>
              <c:numCache>
                <c:formatCode>_(* #,##0.00_);_(* \(#,##0.00\);_(* "-"??_);_(@_)</c:formatCode>
                <c:ptCount val="1"/>
                <c:pt idx="0">
                  <c:v>-44502.819974016122</c:v>
                </c:pt>
              </c:numCache>
            </c:numRef>
          </c:val>
          <c:extLst>
            <c:ext xmlns:c16="http://schemas.microsoft.com/office/drawing/2014/chart" uri="{C3380CC4-5D6E-409C-BE32-E72D297353CC}">
              <c16:uniqueId val="{00000000-284C-4608-888B-41CE94DCF7CF}"/>
            </c:ext>
          </c:extLst>
        </c:ser>
        <c:ser>
          <c:idx val="1"/>
          <c:order val="1"/>
          <c:tx>
            <c:v>Mögliches steuerfreies Vermögen</c:v>
          </c:tx>
          <c:spPr>
            <a:solidFill>
              <a:schemeClr val="accent6">
                <a:lumMod val="75000"/>
              </a:schemeClr>
            </a:solidFill>
            <a:ln>
              <a:noFill/>
            </a:ln>
            <a:effectLst>
              <a:outerShdw blurRad="57150" dist="19050" dir="5400000" algn="ctr" rotWithShape="0">
                <a:srgbClr val="000000">
                  <a:alpha val="63000"/>
                </a:srgbClr>
              </a:outerShdw>
            </a:effectLst>
          </c:spPr>
          <c:invertIfNegative val="0"/>
          <c:dPt>
            <c:idx val="0"/>
            <c:invertIfNegative val="0"/>
            <c:bubble3D val="0"/>
            <c:spPr>
              <a:solidFill>
                <a:schemeClr val="accent6">
                  <a:lumMod val="75000"/>
                </a:schemeClr>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6-284C-4608-888B-41CE94DCF7C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'Vergleich Sparplan'!$C$18</c:f>
              <c:numCache>
                <c:formatCode>_-* #,##0_-;\-* #,##0_-;_-* "-"??_-;_-@_-</c:formatCode>
                <c:ptCount val="1"/>
                <c:pt idx="0">
                  <c:v>278315.88891871821</c:v>
                </c:pt>
              </c:numCache>
            </c:numRef>
          </c:val>
          <c:extLst>
            <c:ext xmlns:c16="http://schemas.microsoft.com/office/drawing/2014/chart" uri="{C3380CC4-5D6E-409C-BE32-E72D297353CC}">
              <c16:uniqueId val="{00000004-284C-4608-888B-41CE94DCF7CF}"/>
            </c:ext>
          </c:extLst>
        </c:ser>
        <c:dLbls>
          <c:dLblPos val="outEnd"/>
          <c:showLegendKey val="0"/>
          <c:showVal val="1"/>
          <c:showCatName val="0"/>
          <c:showSerName val="0"/>
          <c:showPercent val="0"/>
          <c:showBubbleSize val="0"/>
        </c:dLbls>
        <c:gapWidth val="115"/>
        <c:overlap val="-20"/>
        <c:axId val="874931136"/>
        <c:axId val="873608368"/>
      </c:barChart>
      <c:catAx>
        <c:axId val="874931136"/>
        <c:scaling>
          <c:orientation val="minMax"/>
        </c:scaling>
        <c:delete val="1"/>
        <c:axPos val="l"/>
        <c:numFmt formatCode="General" sourceLinked="1"/>
        <c:majorTickMark val="none"/>
        <c:minorTickMark val="none"/>
        <c:tickLblPos val="nextTo"/>
        <c:crossAx val="873608368"/>
        <c:crosses val="autoZero"/>
        <c:auto val="1"/>
        <c:lblAlgn val="ctr"/>
        <c:lblOffset val="100"/>
        <c:noMultiLvlLbl val="0"/>
      </c:catAx>
      <c:valAx>
        <c:axId val="873608368"/>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874931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a:outerShdw blurRad="50800" dist="38100" algn="l" rotWithShape="0">
        <a:prstClr val="black">
          <a:alpha val="40000"/>
        </a:prstClr>
      </a:outerShdw>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1"/>
          <a:lstStyle/>
          <a:p>
            <a:pPr>
              <a:defRPr sz="1400" b="1" i="0" u="none" strike="noStrike" kern="1200" spc="0" baseline="0">
                <a:solidFill>
                  <a:schemeClr val="tx1"/>
                </a:solidFill>
                <a:latin typeface="+mn-lt"/>
                <a:ea typeface="+mn-ea"/>
                <a:cs typeface="+mn-cs"/>
              </a:defRPr>
            </a:pPr>
            <a:r>
              <a:rPr lang="de-DE" b="1"/>
              <a:t>Restschuld Bank und Immobilienvermögen</a:t>
            </a:r>
          </a:p>
        </c:rich>
      </c:tx>
      <c:layout>
        <c:manualLayout>
          <c:xMode val="edge"/>
          <c:yMode val="edge"/>
          <c:x val="0.39156792114695338"/>
          <c:y val="9.6405555555555533E-3"/>
        </c:manualLayout>
      </c:layout>
      <c:overlay val="0"/>
      <c:spPr>
        <a:noFill/>
        <a:ln>
          <a:noFill/>
        </a:ln>
        <a:effectLst/>
      </c:spPr>
      <c:txPr>
        <a:bodyPr rot="0" spcFirstLastPara="1" vertOverflow="ellipsis" vert="horz" wrap="square" anchor="t" anchorCtr="1"/>
        <a:lstStyle/>
        <a:p>
          <a:pPr>
            <a:defRPr sz="140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9.270829870355822E-2"/>
          <c:y val="8.0562222222222202E-2"/>
          <c:w val="0.89583333333333337"/>
          <c:h val="0.79001726135584405"/>
        </c:manualLayout>
      </c:layout>
      <c:barChart>
        <c:barDir val="col"/>
        <c:grouping val="clustered"/>
        <c:varyColors val="0"/>
        <c:ser>
          <c:idx val="0"/>
          <c:order val="0"/>
          <c:tx>
            <c:v>Immobilienvermögen</c:v>
          </c:tx>
          <c:spPr>
            <a:solidFill>
              <a:schemeClr val="accent6"/>
            </a:solidFill>
            <a:ln>
              <a:noFill/>
            </a:ln>
            <a:effectLst/>
          </c:spPr>
          <c:invertIfNegative val="0"/>
          <c:val>
            <c:numRef>
              <c:f>Ergebnistabelle!$AN$7:$AN$56</c:f>
              <c:numCache>
                <c:formatCode>#\ ###</c:formatCode>
                <c:ptCount val="50"/>
                <c:pt idx="0">
                  <c:v>260907.24</c:v>
                </c:pt>
                <c:pt idx="1">
                  <c:v>268734.4572</c:v>
                </c:pt>
                <c:pt idx="2">
                  <c:v>276796.49091600004</c:v>
                </c:pt>
                <c:pt idx="3">
                  <c:v>285100.38564348</c:v>
                </c:pt>
                <c:pt idx="4">
                  <c:v>293653.39721278439</c:v>
                </c:pt>
                <c:pt idx="5">
                  <c:v>302462.99912916793</c:v>
                </c:pt>
                <c:pt idx="6">
                  <c:v>311536.88910304301</c:v>
                </c:pt>
                <c:pt idx="7">
                  <c:v>320882.99577613431</c:v>
                </c:pt>
                <c:pt idx="8">
                  <c:v>330509.48564941832</c:v>
                </c:pt>
                <c:pt idx="9">
                  <c:v>340424.77021890087</c:v>
                </c:pt>
                <c:pt idx="10">
                  <c:v>350637.51332546788</c:v>
                </c:pt>
                <c:pt idx="11">
                  <c:v>361156.63872523198</c:v>
                </c:pt>
                <c:pt idx="12">
                  <c:v>371991.33788698894</c:v>
                </c:pt>
                <c:pt idx="13">
                  <c:v>383151.07802359859</c:v>
                </c:pt>
                <c:pt idx="14">
                  <c:v>394645.6103643066</c:v>
                </c:pt>
                <c:pt idx="15">
                  <c:v>406484.97867523582</c:v>
                </c:pt>
                <c:pt idx="16">
                  <c:v>418679.52803549293</c:v>
                </c:pt>
                <c:pt idx="17">
                  <c:v>431239.91387655766</c:v>
                </c:pt>
                <c:pt idx="18">
                  <c:v>444177.11129285442</c:v>
                </c:pt>
                <c:pt idx="19">
                  <c:v>457502.42463164002</c:v>
                </c:pt>
                <c:pt idx="20">
                  <c:v>471227.49737058929</c:v>
                </c:pt>
                <c:pt idx="21">
                  <c:v>485364.32229170698</c:v>
                </c:pt>
                <c:pt idx="22">
                  <c:v>499925.25196045818</c:v>
                </c:pt>
                <c:pt idx="23">
                  <c:v>514923.0095192719</c:v>
                </c:pt>
                <c:pt idx="24">
                  <c:v>530370.69980485016</c:v>
                </c:pt>
                <c:pt idx="25">
                  <c:v>546281.82079899556</c:v>
                </c:pt>
                <c:pt idx="26">
                  <c:v>562670.27542296553</c:v>
                </c:pt>
                <c:pt idx="27">
                  <c:v>579550.38368565449</c:v>
                </c:pt>
                <c:pt idx="28">
                  <c:v>596936.8951962241</c:v>
                </c:pt>
                <c:pt idx="29">
                  <c:v>614845.00205211085</c:v>
                </c:pt>
                <c:pt idx="30">
                  <c:v>633290.35211367416</c:v>
                </c:pt>
                <c:pt idx="31">
                  <c:v>652289.06267708435</c:v>
                </c:pt>
                <c:pt idx="32">
                  <c:v>671857.73455739697</c:v>
                </c:pt>
                <c:pt idx="33">
                  <c:v>692013.46659411886</c:v>
                </c:pt>
                <c:pt idx="34">
                  <c:v>712773.87059194245</c:v>
                </c:pt>
                <c:pt idx="35">
                  <c:v>734157.08670970076</c:v>
                </c:pt>
                <c:pt idx="36">
                  <c:v>756181.79931099189</c:v>
                </c:pt>
                <c:pt idx="37">
                  <c:v>778867.25329032156</c:v>
                </c:pt>
                <c:pt idx="38">
                  <c:v>802233.27088903135</c:v>
                </c:pt>
                <c:pt idx="39">
                  <c:v>826300.2690157023</c:v>
                </c:pt>
                <c:pt idx="40">
                  <c:v>851089.27708617342</c:v>
                </c:pt>
                <c:pt idx="41">
                  <c:v>876621.95539875864</c:v>
                </c:pt>
                <c:pt idx="42">
                  <c:v>902920.61406072148</c:v>
                </c:pt>
                <c:pt idx="43">
                  <c:v>930008.2324825431</c:v>
                </c:pt>
                <c:pt idx="44">
                  <c:v>957908.47945701936</c:v>
                </c:pt>
                <c:pt idx="45">
                  <c:v>986645.73384072992</c:v>
                </c:pt>
                <c:pt idx="46">
                  <c:v>1016245.1058559519</c:v>
                </c:pt>
                <c:pt idx="47">
                  <c:v>1046732.4590316304</c:v>
                </c:pt>
                <c:pt idx="48">
                  <c:v>1078134.4328025794</c:v>
                </c:pt>
                <c:pt idx="49">
                  <c:v>1110478.4657866568</c:v>
                </c:pt>
              </c:numCache>
            </c:numRef>
          </c:val>
          <c:extLst>
            <c:ext xmlns:c16="http://schemas.microsoft.com/office/drawing/2014/chart" uri="{C3380CC4-5D6E-409C-BE32-E72D297353CC}">
              <c16:uniqueId val="{00000000-2B0A-4C55-9B27-086A67E05CF1}"/>
            </c:ext>
          </c:extLst>
        </c:ser>
        <c:ser>
          <c:idx val="1"/>
          <c:order val="1"/>
          <c:tx>
            <c:v>Restschuld</c:v>
          </c:tx>
          <c:spPr>
            <a:solidFill>
              <a:schemeClr val="accent5"/>
            </a:solidFill>
            <a:ln>
              <a:noFill/>
            </a:ln>
            <a:effectLst/>
          </c:spPr>
          <c:invertIfNegative val="0"/>
          <c:val>
            <c:numRef>
              <c:f>Ergebnistabelle!$W$7:$W$56</c:f>
              <c:numCache>
                <c:formatCode>#\ ###</c:formatCode>
                <c:ptCount val="50"/>
                <c:pt idx="0">
                  <c:v>245119.5600002</c:v>
                </c:pt>
                <c:pt idx="1">
                  <c:v>239902.01508040683</c:v>
                </c:pt>
                <c:pt idx="2">
                  <c:v>234460.11572906072</c:v>
                </c:pt>
                <c:pt idx="3">
                  <c:v>228784.21470560489</c:v>
                </c:pt>
                <c:pt idx="4">
                  <c:v>222864.24993813853</c:v>
                </c:pt>
                <c:pt idx="5">
                  <c:v>216689.72668566921</c:v>
                </c:pt>
                <c:pt idx="6">
                  <c:v>210249.69893334166</c:v>
                </c:pt>
                <c:pt idx="7">
                  <c:v>203532.74998766198</c:v>
                </c:pt>
                <c:pt idx="8">
                  <c:v>196526.97223731596</c:v>
                </c:pt>
                <c:pt idx="9">
                  <c:v>189219.94604370292</c:v>
                </c:pt>
                <c:pt idx="10">
                  <c:v>181562.17649138783</c:v>
                </c:pt>
                <c:pt idx="11">
                  <c:v>173570.52818658945</c:v>
                </c:pt>
                <c:pt idx="12">
                  <c:v>165230.44401569947</c:v>
                </c:pt>
                <c:pt idx="13">
                  <c:v>156526.73217495618</c:v>
                </c:pt>
                <c:pt idx="14">
                  <c:v>147443.538497954</c:v>
                </c:pt>
                <c:pt idx="15">
                  <c:v>137964.31757663193</c:v>
                </c:pt>
                <c:pt idx="16">
                  <c:v>128071.80262313751</c:v>
                </c:pt>
                <c:pt idx="17">
                  <c:v>117747.97401766804</c:v>
                </c:pt>
                <c:pt idx="18">
                  <c:v>106974.02648499729</c:v>
                </c:pt>
                <c:pt idx="19">
                  <c:v>95730.334839899224</c:v>
                </c:pt>
                <c:pt idx="20">
                  <c:v>83996.418239071936</c:v>
                </c:pt>
                <c:pt idx="21">
                  <c:v>71750.902874445572</c:v>
                </c:pt>
                <c:pt idx="22">
                  <c:v>58971.483039918407</c:v>
                </c:pt>
                <c:pt idx="23">
                  <c:v>45634.880500602674</c:v>
                </c:pt>
                <c:pt idx="24">
                  <c:v>31716.80209056953</c:v>
                </c:pt>
                <c:pt idx="25">
                  <c:v>17191.895461855609</c:v>
                </c:pt>
                <c:pt idx="26">
                  <c:v>2033.7029041263431</c:v>
                </c:pt>
                <c:pt idx="27">
                  <c:v>4.1036414767925824E-6</c:v>
                </c:pt>
                <c:pt idx="28">
                  <c:v>4.3049338392816644E-6</c:v>
                </c:pt>
                <c:pt idx="29">
                  <c:v>4.5113186654154906E-6</c:v>
                </c:pt>
                <c:pt idx="30">
                  <c:v>4.7229250276505022E-6</c:v>
                </c:pt>
                <c:pt idx="31">
                  <c:v>4.9398850308500594E-6</c:v>
                </c:pt>
                <c:pt idx="32">
                  <c:v>5.1623341221305655E-6</c:v>
                </c:pt>
                <c:pt idx="33">
                  <c:v>5.3904111754204685E-6</c:v>
                </c:pt>
                <c:pt idx="34">
                  <c:v>5.624258578158606E-6</c:v>
                </c:pt>
                <c:pt idx="35">
                  <c:v>5.8640223201860183E-6</c:v>
                </c:pt>
                <c:pt idx="36">
                  <c:v>6.1098520848867249E-6</c:v>
                </c:pt>
                <c:pt idx="37">
                  <c:v>6.3619013426343591E-6</c:v>
                </c:pt>
                <c:pt idx="38">
                  <c:v>6.6203274466030085E-6</c:v>
                </c:pt>
                <c:pt idx="39">
                  <c:v>6.8852917310020648E-6</c:v>
                </c:pt>
                <c:pt idx="40">
                  <c:v>7.1569596117964172E-6</c:v>
                </c:pt>
                <c:pt idx="41">
                  <c:v>7.4355006899748668E-6</c:v>
                </c:pt>
                <c:pt idx="42">
                  <c:v>7.7210888574312306E-6</c:v>
                </c:pt>
                <c:pt idx="43">
                  <c:v>8.013902405524242E-6</c:v>
                </c:pt>
                <c:pt idx="44">
                  <c:v>8.3141241363840067E-6</c:v>
                </c:pt>
                <c:pt idx="45">
                  <c:v>8.6219414770345225E-6</c:v>
                </c:pt>
                <c:pt idx="46">
                  <c:v>8.9375465964034973E-6</c:v>
                </c:pt>
                <c:pt idx="47">
                  <c:v>9.2611365252925071E-6</c:v>
                </c:pt>
                <c:pt idx="48">
                  <c:v>9.5929132793824079E-6</c:v>
                </c:pt>
                <c:pt idx="49">
                  <c:v>9.9330839853507831E-6</c:v>
                </c:pt>
              </c:numCache>
            </c:numRef>
          </c:val>
          <c:extLst>
            <c:ext xmlns:c16="http://schemas.microsoft.com/office/drawing/2014/chart" uri="{C3380CC4-5D6E-409C-BE32-E72D297353CC}">
              <c16:uniqueId val="{00000001-2B0A-4C55-9B27-086A67E05CF1}"/>
            </c:ext>
          </c:extLst>
        </c:ser>
        <c:dLbls>
          <c:showLegendKey val="0"/>
          <c:showVal val="0"/>
          <c:showCatName val="0"/>
          <c:showSerName val="0"/>
          <c:showPercent val="0"/>
          <c:showBubbleSize val="0"/>
        </c:dLbls>
        <c:gapWidth val="219"/>
        <c:overlap val="-27"/>
        <c:axId val="377862096"/>
        <c:axId val="1"/>
      </c:barChart>
      <c:catAx>
        <c:axId val="37786209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de-DE" b="1"/>
                  <a:t>Jahr</a:t>
                </a:r>
              </a:p>
            </c:rich>
          </c:tx>
          <c:layout>
            <c:manualLayout>
              <c:xMode val="edge"/>
              <c:yMode val="edge"/>
              <c:x val="0.5239583333333333"/>
              <c:y val="0.94107744107744107"/>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de-DE"/>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de-DE" sz="1000" b="1"/>
                  <a:t>Euro</a:t>
                </a:r>
              </a:p>
            </c:rich>
          </c:tx>
          <c:layout>
            <c:manualLayout>
              <c:xMode val="edge"/>
              <c:yMode val="edge"/>
              <c:x val="5.2968498860645495E-2"/>
              <c:y val="6.3388888888888924E-4"/>
            </c:manualLayout>
          </c:layout>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de-DE"/>
            </a:p>
          </c:txPr>
        </c:title>
        <c:numFmt formatCode="#\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377862096"/>
        <c:crosses val="autoZero"/>
        <c:crossBetween val="between"/>
      </c:valAx>
      <c:spPr>
        <a:noFill/>
        <a:ln>
          <a:noFill/>
        </a:ln>
        <a:effectLst/>
      </c:spPr>
    </c:plotArea>
    <c:legend>
      <c:legendPos val="r"/>
      <c:layout>
        <c:manualLayout>
          <c:xMode val="edge"/>
          <c:yMode val="edge"/>
          <c:x val="0.67967571684587813"/>
          <c:y val="3.1824999999999944E-3"/>
          <c:w val="0.31577231182795701"/>
          <c:h val="8.02577777777777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legend>
    <c:plotVisOnly val="1"/>
    <c:dispBlanksAs val="gap"/>
    <c:showDLblsOverMax val="0"/>
  </c:chart>
  <c:spPr>
    <a:solidFill>
      <a:schemeClr val="bg1"/>
    </a:solidFill>
    <a:ln w="25400" cap="flat" cmpd="sng" algn="ctr">
      <a:solidFill>
        <a:schemeClr val="tx1"/>
      </a:solidFill>
      <a:round/>
    </a:ln>
    <a:effectLst/>
  </c:spPr>
  <c:txPr>
    <a:bodyPr anchor="t" anchorCtr="0"/>
    <a:lstStyle/>
    <a:p>
      <a:pPr>
        <a:defRPr>
          <a:solidFill>
            <a:schemeClr val="tx1"/>
          </a:solidFill>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de-DE" b="1"/>
              <a:t>Kumulierte Zuzahlung / Überschuss gesamt</a:t>
            </a:r>
          </a:p>
        </c:rich>
      </c:tx>
      <c:layout>
        <c:manualLayout>
          <c:xMode val="edge"/>
          <c:yMode val="edge"/>
          <c:x val="0.40408584229390682"/>
          <c:y val="9.640555555555555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9.270829870355822E-2"/>
          <c:y val="8.0562222222222202E-2"/>
          <c:w val="0.89583333333333337"/>
          <c:h val="0.79001726135584405"/>
        </c:manualLayout>
      </c:layout>
      <c:barChart>
        <c:barDir val="col"/>
        <c:grouping val="clustered"/>
        <c:varyColors val="0"/>
        <c:ser>
          <c:idx val="1"/>
          <c:order val="0"/>
          <c:spPr>
            <a:solidFill>
              <a:schemeClr val="accent5"/>
            </a:solidFill>
            <a:ln>
              <a:noFill/>
            </a:ln>
            <a:effectLst/>
          </c:spPr>
          <c:invertIfNegative val="0"/>
          <c:val>
            <c:numRef>
              <c:f>Ergebnistabelle!$AM$7:$AM$56</c:f>
              <c:numCache>
                <c:formatCode>#\ ###</c:formatCode>
                <c:ptCount val="50"/>
                <c:pt idx="0" formatCode="#,##0">
                  <c:v>-21244.551101999998</c:v>
                </c:pt>
                <c:pt idx="1">
                  <c:v>-23613.499054797328</c:v>
                </c:pt>
                <c:pt idx="2">
                  <c:v>-25863.273827220302</c:v>
                </c:pt>
                <c:pt idx="3">
                  <c:v>-27991.273556999273</c:v>
                </c:pt>
                <c:pt idx="4">
                  <c:v>-29994.865596067873</c:v>
                </c:pt>
                <c:pt idx="5">
                  <c:v>-31871.387673769637</c:v>
                </c:pt>
                <c:pt idx="6">
                  <c:v>-33618.149185234055</c:v>
                </c:pt>
                <c:pt idx="7">
                  <c:v>-35232.432612564342</c:v>
                </c:pt>
                <c:pt idx="8">
                  <c:v>-36711.495086875584</c:v>
                </c:pt>
                <c:pt idx="9">
                  <c:v>-38052.57009963756</c:v>
                </c:pt>
                <c:pt idx="10">
                  <c:v>-39358.66510483811</c:v>
                </c:pt>
                <c:pt idx="11">
                  <c:v>-40523.581072725159</c:v>
                </c:pt>
                <c:pt idx="12">
                  <c:v>-41544.674003396962</c:v>
                </c:pt>
                <c:pt idx="13">
                  <c:v>-42419.295992668442</c:v>
                </c:pt>
                <c:pt idx="14">
                  <c:v>-43144.798463387095</c:v>
                </c:pt>
                <c:pt idx="15">
                  <c:v>-43718.535640283757</c:v>
                </c:pt>
                <c:pt idx="16">
                  <c:v>-44137.868282061812</c:v>
                </c:pt>
                <c:pt idx="17">
                  <c:v>-44400.167685118664</c:v>
                </c:pt>
                <c:pt idx="18">
                  <c:v>-44502.819974016114</c:v>
                </c:pt>
                <c:pt idx="19">
                  <c:v>-44443.230694573751</c:v>
                </c:pt>
                <c:pt idx="20">
                  <c:v>-44218.829726252734</c:v>
                </c:pt>
                <c:pt idx="21">
                  <c:v>-43827.076531328319</c:v>
                </c:pt>
                <c:pt idx="22">
                  <c:v>-43265.465759219791</c:v>
                </c:pt>
                <c:pt idx="23">
                  <c:v>-42531.533225257925</c:v>
                </c:pt>
                <c:pt idx="24">
                  <c:v>-41622.862284124632</c:v>
                </c:pt>
                <c:pt idx="25">
                  <c:v>-40537.090619199087</c:v>
                </c:pt>
                <c:pt idx="26">
                  <c:v>-39271.917470091197</c:v>
                </c:pt>
                <c:pt idx="27">
                  <c:v>-24039.724468512235</c:v>
                </c:pt>
                <c:pt idx="28">
                  <c:v>-6266.9653084214078</c:v>
                </c:pt>
                <c:pt idx="29">
                  <c:v>11972.364602834481</c:v>
                </c:pt>
                <c:pt idx="30">
                  <c:v>27756.294964201359</c:v>
                </c:pt>
                <c:pt idx="31">
                  <c:v>44035.648293677645</c:v>
                </c:pt>
                <c:pt idx="32">
                  <c:v>60825.50633087926</c:v>
                </c:pt>
                <c:pt idx="33">
                  <c:v>78141.405458116322</c:v>
                </c:pt>
                <c:pt idx="34">
                  <c:v>95999.35036157904</c:v>
                </c:pt>
                <c:pt idx="35">
                  <c:v>114415.82810257821</c:v>
                </c:pt>
                <c:pt idx="36">
                  <c:v>133407.82261114422</c:v>
                </c:pt>
                <c:pt idx="37">
                  <c:v>152992.82961465738</c:v>
                </c:pt>
                <c:pt idx="38">
                  <c:v>173188.87201456298</c:v>
                </c:pt>
                <c:pt idx="39">
                  <c:v>194014.51572461557</c:v>
                </c:pt>
                <c:pt idx="40">
                  <c:v>215488.88598450104</c:v>
                </c:pt>
                <c:pt idx="41">
                  <c:v>237631.68416309965</c:v>
                </c:pt>
                <c:pt idx="42">
                  <c:v>260463.20506608189</c:v>
                </c:pt>
                <c:pt idx="43">
                  <c:v>284004.35476296948</c:v>
                </c:pt>
                <c:pt idx="44">
                  <c:v>308276.66894924769</c:v>
                </c:pt>
                <c:pt idx="45">
                  <c:v>333302.33185958304</c:v>
                </c:pt>
                <c:pt idx="46">
                  <c:v>359104.19574868184</c:v>
                </c:pt>
                <c:pt idx="47">
                  <c:v>385705.80095682153</c:v>
                </c:pt>
                <c:pt idx="48">
                  <c:v>413131.3965775969</c:v>
                </c:pt>
                <c:pt idx="49">
                  <c:v>441405.96174585092</c:v>
                </c:pt>
              </c:numCache>
            </c:numRef>
          </c:val>
          <c:extLst>
            <c:ext xmlns:c16="http://schemas.microsoft.com/office/drawing/2014/chart" uri="{C3380CC4-5D6E-409C-BE32-E72D297353CC}">
              <c16:uniqueId val="{00000000-9506-4340-BD80-046872838DC0}"/>
            </c:ext>
          </c:extLst>
        </c:ser>
        <c:dLbls>
          <c:showLegendKey val="0"/>
          <c:showVal val="0"/>
          <c:showCatName val="0"/>
          <c:showSerName val="0"/>
          <c:showPercent val="0"/>
          <c:showBubbleSize val="0"/>
        </c:dLbls>
        <c:gapWidth val="219"/>
        <c:overlap val="-27"/>
        <c:axId val="377862096"/>
        <c:axId val="1"/>
      </c:barChart>
      <c:catAx>
        <c:axId val="37786209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de-DE" b="1"/>
                  <a:t>Jahr</a:t>
                </a:r>
              </a:p>
            </c:rich>
          </c:tx>
          <c:layout>
            <c:manualLayout>
              <c:xMode val="edge"/>
              <c:yMode val="edge"/>
              <c:x val="0.5239583333333333"/>
              <c:y val="0.94107744107744107"/>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de-DE"/>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de-DE" sz="1000" b="1"/>
                  <a:t>Euro</a:t>
                </a:r>
              </a:p>
            </c:rich>
          </c:tx>
          <c:layout>
            <c:manualLayout>
              <c:xMode val="edge"/>
              <c:yMode val="edge"/>
              <c:x val="5.2968498860645495E-2"/>
              <c:y val="6.3388888888888924E-4"/>
            </c:manualLayout>
          </c:layout>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377862096"/>
        <c:crosses val="autoZero"/>
        <c:crossBetween val="between"/>
      </c:valAx>
      <c:spPr>
        <a:noFill/>
        <a:ln>
          <a:noFill/>
        </a:ln>
        <a:effectLst/>
      </c:spPr>
    </c:plotArea>
    <c:plotVisOnly val="1"/>
    <c:dispBlanksAs val="gap"/>
    <c:showDLblsOverMax val="0"/>
  </c:chart>
  <c:spPr>
    <a:solidFill>
      <a:schemeClr val="bg1"/>
    </a:solidFill>
    <a:ln w="25400" cap="flat" cmpd="sng" algn="ctr">
      <a:solidFill>
        <a:schemeClr val="tx1"/>
      </a:solidFill>
      <a:round/>
    </a:ln>
    <a:effectLst/>
  </c:spPr>
  <c:txPr>
    <a:bodyPr anchor="t" anchorCtr="0"/>
    <a:lstStyle/>
    <a:p>
      <a:pPr>
        <a:defRPr>
          <a:solidFill>
            <a:schemeClr val="tx1"/>
          </a:solidFill>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de-DE" b="1"/>
              <a:t>Entwicklung monatliche Mieteinahmen</a:t>
            </a:r>
          </a:p>
        </c:rich>
      </c:tx>
      <c:layout>
        <c:manualLayout>
          <c:xMode val="edge"/>
          <c:yMode val="edge"/>
          <c:x val="0.39270591397849464"/>
          <c:y val="6.11277777777777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9.2708333333333323E-2"/>
          <c:y val="6.9978888888888882E-2"/>
          <c:w val="0.89583333333333337"/>
          <c:h val="0.79001726135584405"/>
        </c:manualLayout>
      </c:layout>
      <c:barChart>
        <c:barDir val="col"/>
        <c:grouping val="clustered"/>
        <c:varyColors val="0"/>
        <c:ser>
          <c:idx val="1"/>
          <c:order val="0"/>
          <c:spPr>
            <a:solidFill>
              <a:schemeClr val="accent5"/>
            </a:solidFill>
            <a:ln>
              <a:noFill/>
            </a:ln>
            <a:effectLst/>
          </c:spPr>
          <c:invertIfNegative val="0"/>
          <c:dPt>
            <c:idx val="38"/>
            <c:invertIfNegative val="0"/>
            <c:bubble3D val="0"/>
            <c:spPr>
              <a:solidFill>
                <a:schemeClr val="accent5"/>
              </a:solidFill>
              <a:ln>
                <a:noFill/>
              </a:ln>
              <a:effectLst/>
            </c:spPr>
            <c:extLst>
              <c:ext xmlns:c16="http://schemas.microsoft.com/office/drawing/2014/chart" uri="{C3380CC4-5D6E-409C-BE32-E72D297353CC}">
                <c16:uniqueId val="{00000001-6E68-4949-9D53-E4200A24D0C0}"/>
              </c:ext>
            </c:extLst>
          </c:dPt>
          <c:val>
            <c:numRef>
              <c:f>Ergebnistabelle!$C$7:$C$56</c:f>
              <c:numCache>
                <c:formatCode>0</c:formatCode>
                <c:ptCount val="50"/>
                <c:pt idx="0" formatCode="General">
                  <c:v>950</c:v>
                </c:pt>
                <c:pt idx="1">
                  <c:v>978.5</c:v>
                </c:pt>
                <c:pt idx="2">
                  <c:v>1007.855</c:v>
                </c:pt>
                <c:pt idx="3">
                  <c:v>1038.0906500000001</c:v>
                </c:pt>
                <c:pt idx="4">
                  <c:v>1069.2333695</c:v>
                </c:pt>
                <c:pt idx="5">
                  <c:v>1101.3103705850001</c:v>
                </c:pt>
                <c:pt idx="6">
                  <c:v>1134.34968170255</c:v>
                </c:pt>
                <c:pt idx="7">
                  <c:v>1168.3801721536267</c:v>
                </c:pt>
                <c:pt idx="8">
                  <c:v>1203.4315773182354</c:v>
                </c:pt>
                <c:pt idx="9">
                  <c:v>1239.5345246377826</c:v>
                </c:pt>
                <c:pt idx="10">
                  <c:v>1276.720560376916</c:v>
                </c:pt>
                <c:pt idx="11">
                  <c:v>1315.0221771882236</c:v>
                </c:pt>
                <c:pt idx="12">
                  <c:v>1354.4728425038704</c:v>
                </c:pt>
                <c:pt idx="13">
                  <c:v>1395.1070277789865</c:v>
                </c:pt>
                <c:pt idx="14">
                  <c:v>1436.9602386123561</c:v>
                </c:pt>
                <c:pt idx="15">
                  <c:v>1480.0690457707269</c:v>
                </c:pt>
                <c:pt idx="16">
                  <c:v>1524.4711171438487</c:v>
                </c:pt>
                <c:pt idx="17">
                  <c:v>1570.2052506581642</c:v>
                </c:pt>
                <c:pt idx="18">
                  <c:v>1617.3114081779092</c:v>
                </c:pt>
                <c:pt idx="19">
                  <c:v>1665.8307504232464</c:v>
                </c:pt>
                <c:pt idx="20">
                  <c:v>1715.8056729359439</c:v>
                </c:pt>
                <c:pt idx="21">
                  <c:v>1767.2798431240224</c:v>
                </c:pt>
                <c:pt idx="22">
                  <c:v>1820.2982384177431</c:v>
                </c:pt>
                <c:pt idx="23">
                  <c:v>1874.9071855702753</c:v>
                </c:pt>
                <c:pt idx="24">
                  <c:v>1931.1544011373835</c:v>
                </c:pt>
                <c:pt idx="25">
                  <c:v>1989.0890331715052</c:v>
                </c:pt>
                <c:pt idx="26">
                  <c:v>2048.7617041666504</c:v>
                </c:pt>
                <c:pt idx="27">
                  <c:v>2110.2245552916497</c:v>
                </c:pt>
                <c:pt idx="28">
                  <c:v>2173.5312919503995</c:v>
                </c:pt>
                <c:pt idx="29">
                  <c:v>2238.7372307089113</c:v>
                </c:pt>
                <c:pt idx="30">
                  <c:v>2305.8993476301789</c:v>
                </c:pt>
                <c:pt idx="31">
                  <c:v>2375.0763280590841</c:v>
                </c:pt>
                <c:pt idx="32">
                  <c:v>2446.3286179008569</c:v>
                </c:pt>
                <c:pt idx="33">
                  <c:v>2519.7184764378826</c:v>
                </c:pt>
                <c:pt idx="34">
                  <c:v>2595.3100307310192</c:v>
                </c:pt>
                <c:pt idx="35">
                  <c:v>2673.1693316529495</c:v>
                </c:pt>
                <c:pt idx="36">
                  <c:v>2753.3644116025384</c:v>
                </c:pt>
                <c:pt idx="37">
                  <c:v>2835.9653439506146</c:v>
                </c:pt>
                <c:pt idx="38">
                  <c:v>2921.0443042691331</c:v>
                </c:pt>
                <c:pt idx="39">
                  <c:v>3008.6756333972075</c:v>
                </c:pt>
                <c:pt idx="40">
                  <c:v>3098.9359023991237</c:v>
                </c:pt>
                <c:pt idx="41">
                  <c:v>3191.9039794710975</c:v>
                </c:pt>
                <c:pt idx="42">
                  <c:v>3287.6610988552306</c:v>
                </c:pt>
                <c:pt idx="43">
                  <c:v>3386.2909318208876</c:v>
                </c:pt>
                <c:pt idx="44">
                  <c:v>3487.879659775514</c:v>
                </c:pt>
                <c:pt idx="45">
                  <c:v>3592.5160495687796</c:v>
                </c:pt>
                <c:pt idx="46">
                  <c:v>3700.2915310558433</c:v>
                </c:pt>
                <c:pt idx="47">
                  <c:v>3811.3002769875184</c:v>
                </c:pt>
                <c:pt idx="48">
                  <c:v>3925.6392852971439</c:v>
                </c:pt>
                <c:pt idx="49">
                  <c:v>4043.4084638560585</c:v>
                </c:pt>
              </c:numCache>
            </c:numRef>
          </c:val>
          <c:extLst>
            <c:ext xmlns:c16="http://schemas.microsoft.com/office/drawing/2014/chart" uri="{C3380CC4-5D6E-409C-BE32-E72D297353CC}">
              <c16:uniqueId val="{00000002-6E68-4949-9D53-E4200A24D0C0}"/>
            </c:ext>
          </c:extLst>
        </c:ser>
        <c:dLbls>
          <c:showLegendKey val="0"/>
          <c:showVal val="0"/>
          <c:showCatName val="0"/>
          <c:showSerName val="0"/>
          <c:showPercent val="0"/>
          <c:showBubbleSize val="0"/>
        </c:dLbls>
        <c:gapWidth val="219"/>
        <c:overlap val="-27"/>
        <c:axId val="377862096"/>
        <c:axId val="1"/>
        <c:extLst/>
      </c:barChart>
      <c:catAx>
        <c:axId val="37786209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de-DE" b="1"/>
                  <a:t>Jahr</a:t>
                </a:r>
              </a:p>
            </c:rich>
          </c:tx>
          <c:layout>
            <c:manualLayout>
              <c:xMode val="edge"/>
              <c:yMode val="edge"/>
              <c:x val="0.5239583333333333"/>
              <c:y val="0.94107744107744107"/>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de-DE"/>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de-DE" sz="1000" b="1"/>
                  <a:t>Euro</a:t>
                </a:r>
              </a:p>
            </c:rich>
          </c:tx>
          <c:layout>
            <c:manualLayout>
              <c:xMode val="edge"/>
              <c:yMode val="edge"/>
              <c:x val="5.2968498860645495E-2"/>
              <c:y val="6.3388888888888924E-4"/>
            </c:manualLayout>
          </c:layout>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de-D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377862096"/>
        <c:crosses val="autoZero"/>
        <c:crossBetween val="between"/>
      </c:valAx>
      <c:spPr>
        <a:noFill/>
        <a:ln>
          <a:noFill/>
        </a:ln>
        <a:effectLst/>
      </c:spPr>
    </c:plotArea>
    <c:plotVisOnly val="1"/>
    <c:dispBlanksAs val="gap"/>
    <c:showDLblsOverMax val="0"/>
  </c:chart>
  <c:spPr>
    <a:solidFill>
      <a:schemeClr val="bg1"/>
    </a:solidFill>
    <a:ln w="25400" cap="flat" cmpd="sng" algn="ctr">
      <a:solidFill>
        <a:schemeClr val="tx1"/>
      </a:solidFill>
      <a:round/>
    </a:ln>
    <a:effectLst/>
  </c:spPr>
  <c:txPr>
    <a:bodyPr anchor="t" anchorCtr="0"/>
    <a:lstStyle/>
    <a:p>
      <a:pPr>
        <a:defRPr>
          <a:solidFill>
            <a:schemeClr val="tx1"/>
          </a:solidFill>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de-DE" b="1"/>
              <a:t>Kumulierte Mieteinahmen</a:t>
            </a:r>
          </a:p>
        </c:rich>
      </c:tx>
      <c:layout>
        <c:manualLayout>
          <c:xMode val="edge"/>
          <c:yMode val="edge"/>
          <c:x val="0.44050161290322581"/>
          <c:y val="1.316833333333333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9.2708333333333323E-2"/>
          <c:y val="7.3506666666666665E-2"/>
          <c:w val="0.89583333333333337"/>
          <c:h val="0.79001726135584405"/>
        </c:manualLayout>
      </c:layout>
      <c:barChart>
        <c:barDir val="col"/>
        <c:grouping val="clustered"/>
        <c:varyColors val="0"/>
        <c:ser>
          <c:idx val="1"/>
          <c:order val="0"/>
          <c:spPr>
            <a:solidFill>
              <a:schemeClr val="accent5"/>
            </a:solidFill>
            <a:ln>
              <a:noFill/>
            </a:ln>
            <a:effectLst/>
          </c:spPr>
          <c:invertIfNegative val="0"/>
          <c:val>
            <c:numRef>
              <c:f>Ergebnistabelle!$E$7:$E$56</c:f>
              <c:numCache>
                <c:formatCode>#\ ###</c:formatCode>
                <c:ptCount val="50"/>
                <c:pt idx="0">
                  <c:v>11400</c:v>
                </c:pt>
                <c:pt idx="1">
                  <c:v>23142</c:v>
                </c:pt>
                <c:pt idx="2">
                  <c:v>35236.26</c:v>
                </c:pt>
                <c:pt idx="3">
                  <c:v>47693.347800000003</c:v>
                </c:pt>
                <c:pt idx="4">
                  <c:v>60524.148234000008</c:v>
                </c:pt>
                <c:pt idx="5">
                  <c:v>73739.872681020002</c:v>
                </c:pt>
                <c:pt idx="6">
                  <c:v>87352.068861450607</c:v>
                </c:pt>
                <c:pt idx="7">
                  <c:v>101372.63092729413</c:v>
                </c:pt>
                <c:pt idx="8">
                  <c:v>115813.80985511295</c:v>
                </c:pt>
                <c:pt idx="9">
                  <c:v>130688.22415076634</c:v>
                </c:pt>
                <c:pt idx="10">
                  <c:v>146008.87087528934</c:v>
                </c:pt>
                <c:pt idx="11">
                  <c:v>161789.13700154802</c:v>
                </c:pt>
                <c:pt idx="12">
                  <c:v>178042.81111159446</c:v>
                </c:pt>
                <c:pt idx="13">
                  <c:v>194784.0954449423</c:v>
                </c:pt>
                <c:pt idx="14">
                  <c:v>212027.61830829058</c:v>
                </c:pt>
                <c:pt idx="15">
                  <c:v>229788.4468575393</c:v>
                </c:pt>
                <c:pt idx="16">
                  <c:v>248082.10026326549</c:v>
                </c:pt>
                <c:pt idx="17">
                  <c:v>266924.56327116344</c:v>
                </c:pt>
                <c:pt idx="18">
                  <c:v>286332.30016929837</c:v>
                </c:pt>
                <c:pt idx="19">
                  <c:v>306322.26917437732</c:v>
                </c:pt>
                <c:pt idx="20">
                  <c:v>326911.93724960863</c:v>
                </c:pt>
                <c:pt idx="21">
                  <c:v>348119.2953670969</c:v>
                </c:pt>
                <c:pt idx="22">
                  <c:v>369962.87422810984</c:v>
                </c:pt>
                <c:pt idx="23">
                  <c:v>392461.76045495312</c:v>
                </c:pt>
                <c:pt idx="24">
                  <c:v>415635.61326860171</c:v>
                </c:pt>
                <c:pt idx="25">
                  <c:v>439504.68166665977</c:v>
                </c:pt>
                <c:pt idx="26">
                  <c:v>464089.8221166596</c:v>
                </c:pt>
                <c:pt idx="27">
                  <c:v>489412.51678015938</c:v>
                </c:pt>
                <c:pt idx="28">
                  <c:v>515494.8922835642</c:v>
                </c:pt>
                <c:pt idx="29">
                  <c:v>542359.73905207112</c:v>
                </c:pt>
                <c:pt idx="30">
                  <c:v>570030.53122363321</c:v>
                </c:pt>
                <c:pt idx="31">
                  <c:v>598531.44716034224</c:v>
                </c:pt>
                <c:pt idx="32">
                  <c:v>627887.39057515247</c:v>
                </c:pt>
                <c:pt idx="33">
                  <c:v>658124.0122924071</c:v>
                </c:pt>
                <c:pt idx="34">
                  <c:v>689267.73266117938</c:v>
                </c:pt>
                <c:pt idx="35">
                  <c:v>721345.76464101474</c:v>
                </c:pt>
                <c:pt idx="36">
                  <c:v>754386.13758024515</c:v>
                </c:pt>
                <c:pt idx="37">
                  <c:v>788417.72170765256</c:v>
                </c:pt>
                <c:pt idx="38">
                  <c:v>823470.25335888215</c:v>
                </c:pt>
                <c:pt idx="39">
                  <c:v>859574.36095964862</c:v>
                </c:pt>
                <c:pt idx="40">
                  <c:v>896761.59178843815</c:v>
                </c:pt>
                <c:pt idx="41">
                  <c:v>935064.43954209134</c:v>
                </c:pt>
                <c:pt idx="42">
                  <c:v>974516.37272835406</c:v>
                </c:pt>
                <c:pt idx="43">
                  <c:v>1015151.8639102047</c:v>
                </c:pt>
                <c:pt idx="44">
                  <c:v>1057006.4198275108</c:v>
                </c:pt>
                <c:pt idx="45">
                  <c:v>1100116.6124223361</c:v>
                </c:pt>
                <c:pt idx="46">
                  <c:v>1144520.1107950062</c:v>
                </c:pt>
                <c:pt idx="47">
                  <c:v>1190255.7141188565</c:v>
                </c:pt>
                <c:pt idx="48">
                  <c:v>1237363.3855424223</c:v>
                </c:pt>
                <c:pt idx="49">
                  <c:v>1285884.2871086949</c:v>
                </c:pt>
              </c:numCache>
            </c:numRef>
          </c:val>
          <c:extLst>
            <c:ext xmlns:c16="http://schemas.microsoft.com/office/drawing/2014/chart" uri="{C3380CC4-5D6E-409C-BE32-E72D297353CC}">
              <c16:uniqueId val="{00000000-6923-44EE-85B1-37FFEAF36D53}"/>
            </c:ext>
          </c:extLst>
        </c:ser>
        <c:dLbls>
          <c:showLegendKey val="0"/>
          <c:showVal val="0"/>
          <c:showCatName val="0"/>
          <c:showSerName val="0"/>
          <c:showPercent val="0"/>
          <c:showBubbleSize val="0"/>
        </c:dLbls>
        <c:gapWidth val="219"/>
        <c:overlap val="-27"/>
        <c:axId val="377862096"/>
        <c:axId val="1"/>
        <c:extLst/>
      </c:barChart>
      <c:catAx>
        <c:axId val="37786209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de-DE" b="1"/>
                  <a:t>Jahr</a:t>
                </a:r>
              </a:p>
            </c:rich>
          </c:tx>
          <c:layout>
            <c:manualLayout>
              <c:xMode val="edge"/>
              <c:yMode val="edge"/>
              <c:x val="0.5239583333333333"/>
              <c:y val="0.94107744107744107"/>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de-DE"/>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de-DE" sz="1000" b="1"/>
                  <a:t>Euro</a:t>
                </a:r>
              </a:p>
            </c:rich>
          </c:tx>
          <c:layout>
            <c:manualLayout>
              <c:xMode val="edge"/>
              <c:yMode val="edge"/>
              <c:x val="5.2968498860645495E-2"/>
              <c:y val="6.3388888888888924E-4"/>
            </c:manualLayout>
          </c:layout>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de-DE"/>
            </a:p>
          </c:txPr>
        </c:title>
        <c:numFmt formatCode="#\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377862096"/>
        <c:crosses val="autoZero"/>
        <c:crossBetween val="between"/>
      </c:valAx>
      <c:spPr>
        <a:noFill/>
        <a:ln>
          <a:noFill/>
        </a:ln>
        <a:effectLst/>
      </c:spPr>
    </c:plotArea>
    <c:plotVisOnly val="1"/>
    <c:dispBlanksAs val="gap"/>
    <c:showDLblsOverMax val="0"/>
  </c:chart>
  <c:spPr>
    <a:solidFill>
      <a:schemeClr val="bg1"/>
    </a:solidFill>
    <a:ln w="25400" cap="flat" cmpd="sng" algn="ctr">
      <a:solidFill>
        <a:schemeClr val="tx1"/>
      </a:solidFill>
      <a:round/>
    </a:ln>
    <a:effectLst/>
  </c:spPr>
  <c:txPr>
    <a:bodyPr anchor="t" anchorCtr="0"/>
    <a:lstStyle/>
    <a:p>
      <a:pPr>
        <a:defRPr>
          <a:solidFill>
            <a:schemeClr val="tx1"/>
          </a:solidFill>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de-DE" b="1"/>
              <a:t>Zuzahlung / Überschuss pro Monat</a:t>
            </a:r>
          </a:p>
        </c:rich>
      </c:tx>
      <c:layout>
        <c:manualLayout>
          <c:xMode val="edge"/>
          <c:yMode val="edge"/>
          <c:x val="0.40522383512544796"/>
          <c:y val="9.6405555555555533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9.2708333333333323E-2"/>
          <c:y val="7.3506666666666665E-2"/>
          <c:w val="0.89583333333333337"/>
          <c:h val="0.79001726135584405"/>
        </c:manualLayout>
      </c:layout>
      <c:barChart>
        <c:barDir val="col"/>
        <c:grouping val="clustered"/>
        <c:varyColors val="0"/>
        <c:ser>
          <c:idx val="0"/>
          <c:order val="0"/>
          <c:spPr>
            <a:solidFill>
              <a:schemeClr val="accent5"/>
            </a:solidFill>
            <a:ln>
              <a:noFill/>
            </a:ln>
            <a:effectLst/>
          </c:spPr>
          <c:invertIfNegative val="0"/>
          <c:val>
            <c:numRef>
              <c:f>Ergebnistabelle!$AL$7:$AL$56</c:f>
              <c:numCache>
                <c:formatCode>#,##0</c:formatCode>
                <c:ptCount val="50"/>
                <c:pt idx="0">
                  <c:v>-207.12925849999979</c:v>
                </c:pt>
                <c:pt idx="1">
                  <c:v>-197.41232939977772</c:v>
                </c:pt>
                <c:pt idx="2">
                  <c:v>-187.48123103524782</c:v>
                </c:pt>
                <c:pt idx="3">
                  <c:v>-177.33331081491437</c:v>
                </c:pt>
                <c:pt idx="4">
                  <c:v>-166.96600325571686</c:v>
                </c:pt>
                <c:pt idx="5">
                  <c:v>-156.37683980848033</c:v>
                </c:pt>
                <c:pt idx="6">
                  <c:v>-145.56345928870164</c:v>
                </c:pt>
                <c:pt idx="7">
                  <c:v>-134.52361894419059</c:v>
                </c:pt>
                <c:pt idx="8">
                  <c:v>-123.25520619260321</c:v>
                </c:pt>
                <c:pt idx="9">
                  <c:v>-111.75625106349814</c:v>
                </c:pt>
                <c:pt idx="10">
                  <c:v>-108.84125043337917</c:v>
                </c:pt>
                <c:pt idx="11">
                  <c:v>-97.076330657254104</c:v>
                </c:pt>
                <c:pt idx="12">
                  <c:v>-85.091077555983404</c:v>
                </c:pt>
                <c:pt idx="13">
                  <c:v>-72.885165772623012</c:v>
                </c:pt>
                <c:pt idx="14">
                  <c:v>-60.458539226554571</c:v>
                </c:pt>
                <c:pt idx="15">
                  <c:v>-47.811431408055036</c:v>
                </c:pt>
                <c:pt idx="16">
                  <c:v>-34.944386814837948</c:v>
                </c:pt>
                <c:pt idx="17">
                  <c:v>-21.858283588070964</c:v>
                </c:pt>
                <c:pt idx="18">
                  <c:v>-8.5543574081207225</c:v>
                </c:pt>
                <c:pt idx="19">
                  <c:v>4.9657732868639259</c:v>
                </c:pt>
                <c:pt idx="20">
                  <c:v>18.700080693418386</c:v>
                </c:pt>
                <c:pt idx="21">
                  <c:v>32.646099577034725</c:v>
                </c:pt>
                <c:pt idx="22">
                  <c:v>46.800897675710836</c:v>
                </c:pt>
                <c:pt idx="23">
                  <c:v>61.161044496822342</c:v>
                </c:pt>
                <c:pt idx="24">
                  <c:v>75.722578427774508</c:v>
                </c:pt>
                <c:pt idx="25">
                  <c:v>90.480972077128925</c:v>
                </c:pt>
                <c:pt idx="26">
                  <c:v>105.43109575899098</c:v>
                </c:pt>
                <c:pt idx="27">
                  <c:v>1269.3494167982469</c:v>
                </c:pt>
                <c:pt idx="28">
                  <c:v>1481.0632633409023</c:v>
                </c:pt>
                <c:pt idx="29">
                  <c:v>1519.944159271324</c:v>
                </c:pt>
                <c:pt idx="30">
                  <c:v>1315.3275301139065</c:v>
                </c:pt>
                <c:pt idx="31">
                  <c:v>1356.6127774563572</c:v>
                </c:pt>
                <c:pt idx="32">
                  <c:v>1399.1548364334678</c:v>
                </c:pt>
                <c:pt idx="33">
                  <c:v>1442.9915939364216</c:v>
                </c:pt>
                <c:pt idx="34">
                  <c:v>1488.1620752885592</c:v>
                </c:pt>
                <c:pt idx="35">
                  <c:v>1534.7064784165977</c:v>
                </c:pt>
                <c:pt idx="36">
                  <c:v>1582.6662090471671</c:v>
                </c:pt>
                <c:pt idx="37">
                  <c:v>1632.0839169594299</c:v>
                </c:pt>
                <c:pt idx="38">
                  <c:v>1683.0035333254655</c:v>
                </c:pt>
                <c:pt idx="39">
                  <c:v>1735.4703091710501</c:v>
                </c:pt>
                <c:pt idx="40">
                  <c:v>1789.5308549904566</c:v>
                </c:pt>
                <c:pt idx="41">
                  <c:v>1845.2331815498831</c:v>
                </c:pt>
                <c:pt idx="42">
                  <c:v>1902.6267419151861</c:v>
                </c:pt>
                <c:pt idx="43">
                  <c:v>1961.7624747406323</c:v>
                </c:pt>
                <c:pt idx="44">
                  <c:v>2022.692848856517</c:v>
                </c:pt>
                <c:pt idx="45">
                  <c:v>2085.4719091946104</c:v>
                </c:pt>
                <c:pt idx="46">
                  <c:v>2150.1553240915669</c:v>
                </c:pt>
                <c:pt idx="47">
                  <c:v>2216.800434011639</c:v>
                </c:pt>
                <c:pt idx="48">
                  <c:v>2285.4663017312819</c:v>
                </c:pt>
                <c:pt idx="49">
                  <c:v>2356.2137640211699</c:v>
                </c:pt>
              </c:numCache>
            </c:numRef>
          </c:val>
          <c:extLst>
            <c:ext xmlns:c16="http://schemas.microsoft.com/office/drawing/2014/chart" uri="{C3380CC4-5D6E-409C-BE32-E72D297353CC}">
              <c16:uniqueId val="{00000000-1701-49E2-B0E6-A36F10CA2D4D}"/>
            </c:ext>
          </c:extLst>
        </c:ser>
        <c:dLbls>
          <c:showLegendKey val="0"/>
          <c:showVal val="0"/>
          <c:showCatName val="0"/>
          <c:showSerName val="0"/>
          <c:showPercent val="0"/>
          <c:showBubbleSize val="0"/>
        </c:dLbls>
        <c:gapWidth val="219"/>
        <c:overlap val="-27"/>
        <c:axId val="377862096"/>
        <c:axId val="1"/>
        <c:extLst/>
      </c:barChart>
      <c:catAx>
        <c:axId val="377862096"/>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de-DE" b="1"/>
                  <a:t>Jahr</a:t>
                </a:r>
              </a:p>
            </c:rich>
          </c:tx>
          <c:layout>
            <c:manualLayout>
              <c:xMode val="edge"/>
              <c:yMode val="edge"/>
              <c:x val="0.5239583333333333"/>
              <c:y val="0.94107744107744107"/>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de-DE"/>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solidFill>
                <a:latin typeface="+mn-lt"/>
                <a:ea typeface="+mn-ea"/>
                <a:cs typeface="+mn-cs"/>
              </a:defRPr>
            </a:pPr>
            <a:endParaRPr lang="de-DE"/>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de-DE" sz="1000" b="1"/>
                  <a:t>Euro</a:t>
                </a:r>
              </a:p>
            </c:rich>
          </c:tx>
          <c:layout>
            <c:manualLayout>
              <c:xMode val="edge"/>
              <c:yMode val="edge"/>
              <c:x val="5.2968498860645495E-2"/>
              <c:y val="6.3388888888888924E-4"/>
            </c:manualLayout>
          </c:layout>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377862096"/>
        <c:crosses val="autoZero"/>
        <c:crossBetween val="between"/>
      </c:valAx>
      <c:spPr>
        <a:noFill/>
        <a:ln>
          <a:noFill/>
        </a:ln>
        <a:effectLst/>
      </c:spPr>
    </c:plotArea>
    <c:plotVisOnly val="1"/>
    <c:dispBlanksAs val="gap"/>
    <c:showDLblsOverMax val="0"/>
  </c:chart>
  <c:spPr>
    <a:solidFill>
      <a:schemeClr val="bg1"/>
    </a:solidFill>
    <a:ln w="25400" cap="flat" cmpd="sng" algn="ctr">
      <a:solidFill>
        <a:schemeClr val="tx1"/>
      </a:solidFill>
      <a:round/>
    </a:ln>
    <a:effectLst/>
  </c:spPr>
  <c:txPr>
    <a:bodyPr anchor="t" anchorCtr="0"/>
    <a:lstStyle/>
    <a:p>
      <a:pPr>
        <a:defRPr>
          <a:solidFill>
            <a:schemeClr val="tx1"/>
          </a:solidFill>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Reversed" id="25">
  <a:schemeClr val="accent5"/>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https://via.immo/kostenloses-erstgespraech/?source_id_eg=rechner"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3.sv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chart" Target="../charts/chart15.xml"/><Relationship Id="rId4"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333374</xdr:colOff>
      <xdr:row>19</xdr:row>
      <xdr:rowOff>88898</xdr:rowOff>
    </xdr:from>
    <xdr:to>
      <xdr:col>12</xdr:col>
      <xdr:colOff>733424</xdr:colOff>
      <xdr:row>77</xdr:row>
      <xdr:rowOff>0</xdr:rowOff>
    </xdr:to>
    <xdr:sp macro="" textlink="">
      <xdr:nvSpPr>
        <xdr:cNvPr id="2" name="Textfeld 1">
          <a:extLst>
            <a:ext uri="{FF2B5EF4-FFF2-40B4-BE49-F238E27FC236}">
              <a16:creationId xmlns:a16="http://schemas.microsoft.com/office/drawing/2014/main" id="{D1D83979-B8DB-DE4C-B1D4-0ADAC24EEB53}"/>
            </a:ext>
          </a:extLst>
        </xdr:cNvPr>
        <xdr:cNvSpPr txBox="1"/>
      </xdr:nvSpPr>
      <xdr:spPr>
        <a:xfrm>
          <a:off x="333374" y="3232148"/>
          <a:ext cx="9010650" cy="9302752"/>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chemeClr val="dk1"/>
              </a:solidFill>
              <a:effectLst/>
              <a:latin typeface="+mn-lt"/>
              <a:ea typeface="+mn-ea"/>
              <a:cs typeface="+mn-cs"/>
            </a:rPr>
            <a:t>Bei dieser Excel-Datei handelt es sich um ein geschütztes Produkt der VIA Vermietete Immobilie als Altersvorsorge GmbH. Die Datei ist Eigentum der VIA</a:t>
          </a:r>
          <a:r>
            <a:rPr lang="de-DE" sz="1100" b="1" baseline="0">
              <a:solidFill>
                <a:schemeClr val="dk1"/>
              </a:solidFill>
              <a:effectLst/>
              <a:latin typeface="+mn-lt"/>
              <a:ea typeface="+mn-ea"/>
              <a:cs typeface="+mn-cs"/>
            </a:rPr>
            <a:t> und </a:t>
          </a:r>
          <a:r>
            <a:rPr lang="de-DE" sz="1100" b="1">
              <a:solidFill>
                <a:schemeClr val="dk1"/>
              </a:solidFill>
              <a:effectLst/>
              <a:latin typeface="+mn-lt"/>
              <a:ea typeface="+mn-ea"/>
              <a:cs typeface="+mn-cs"/>
            </a:rPr>
            <a:t>darf ohne Zustimmung der VIA weder verändert, vervielfältigt noch weitergegeben oder sonst irgendwie anderen Benutzern zugänglich gemacht werden.</a:t>
          </a:r>
          <a:endParaRPr lang="de-DE">
            <a:effectLst/>
          </a:endParaRPr>
        </a:p>
        <a:p>
          <a:endParaRPr lang="de-DE" sz="1100">
            <a:solidFill>
              <a:schemeClr val="dk1"/>
            </a:solidFill>
            <a:effectLst/>
            <a:latin typeface="+mn-lt"/>
            <a:ea typeface="+mn-ea"/>
            <a:cs typeface="+mn-cs"/>
          </a:endParaRPr>
        </a:p>
        <a:p>
          <a:r>
            <a:rPr lang="de-DE" sz="1100">
              <a:solidFill>
                <a:schemeClr val="dk1"/>
              </a:solidFill>
              <a:effectLst/>
              <a:latin typeface="+mn-lt"/>
              <a:ea typeface="+mn-ea"/>
              <a:cs typeface="+mn-cs"/>
            </a:rPr>
            <a:t>Dieser Excelrechner dient lediglich der unverbindlichen Berechnung von Investitionen in eine Kapitalanlage-Immobilie. Die Berechnungsergebnisse sind nicht verbindlich und stellen keine Garantie dar. Insbesondere Prognosen zu Mietsteigerungen, Wertentwicklungen und Kostenentwicklungen der Immobilie sind spekulativ und können von den tatsächlichen Entwicklungen abweichen. Diese Zahlen wurden aus Daten der Vergangenheit abgeleitet und spiegeln nicht zukünftige Entwicklungen wider. Bitte berücksichtige, dass die zukünftige Marktentwicklung nicht vorhersehbar ist. </a:t>
          </a:r>
          <a:endParaRPr lang="de-DE">
            <a:effectLst/>
          </a:endParaRPr>
        </a:p>
        <a:p>
          <a:r>
            <a:rPr lang="de-DE" sz="1100">
              <a:solidFill>
                <a:schemeClr val="dk1"/>
              </a:solidFill>
              <a:effectLst/>
              <a:latin typeface="+mn-lt"/>
              <a:ea typeface="+mn-ea"/>
              <a:cs typeface="+mn-cs"/>
            </a:rPr>
            <a:t>Wir weisen ausdrücklich darauf hin, dass wir keinerlei Rechts-, oder Steuerberatung erbringen und die geschilderte Rechtslage zum Teil zur besseren Verständlichkeit und Lesbarkeit außerdem auch vereinfacht dargestellt wurde. Alle von uns erteilten Ratschläge basieren ausschließlich auf unserer persönlichen Erfahrung. </a:t>
          </a:r>
        </a:p>
        <a:p>
          <a:endParaRPr lang="de-DE">
            <a:effectLst/>
          </a:endParaRPr>
        </a:p>
        <a:p>
          <a:r>
            <a:rPr lang="de-DE" sz="1100">
              <a:solidFill>
                <a:schemeClr val="dk1"/>
              </a:solidFill>
              <a:effectLst/>
              <a:latin typeface="+mn-lt"/>
              <a:ea typeface="+mn-ea"/>
              <a:cs typeface="+mn-cs"/>
            </a:rPr>
            <a:t>Auch wenn wir jede unserer Empfehlungen mit größtmöglicher Sorgfalt und umfangreicher Recherche entwickelt und fortlaufend kritisch hinterfragt haben, können wir hierfür keinerlei Gewähr bieten. Gleiches gilt auch für die Vollständigkeit und Richtigkeit der dargestellten Rechtslage. Die erteilten Ratschläge können ferner auch keine fundierte und auf den Einzelfall zugeschnittene Rechts-, oder Steuerberatung ersetzen. </a:t>
          </a:r>
          <a:endParaRPr lang="de-DE">
            <a:effectLst/>
          </a:endParaRPr>
        </a:p>
        <a:p>
          <a:r>
            <a:rPr lang="de-DE" sz="1100">
              <a:solidFill>
                <a:schemeClr val="dk1"/>
              </a:solidFill>
              <a:effectLst/>
              <a:latin typeface="+mn-lt"/>
              <a:ea typeface="+mn-ea"/>
              <a:cs typeface="+mn-cs"/>
            </a:rPr>
            <a:t>Wir können daher weder eine Erfolgsgarantie für die von uns abgegebenen Empfehlungen noch eine Haftung für evtl. Folgen ihrer Anwendung übernehmen.</a:t>
          </a:r>
        </a:p>
        <a:p>
          <a:endParaRPr lang="de-DE">
            <a:effectLst/>
          </a:endParaRPr>
        </a:p>
        <a:p>
          <a:r>
            <a:rPr lang="de-DE" sz="1100">
              <a:solidFill>
                <a:schemeClr val="dk1"/>
              </a:solidFill>
              <a:effectLst/>
              <a:latin typeface="+mn-lt"/>
              <a:ea typeface="+mn-ea"/>
              <a:cs typeface="+mn-cs"/>
            </a:rPr>
            <a:t>Auch sämtliche Kalkulationstools wurden mit größter Sorgfalt erstellt. Wir haben durch mehrfache Überprüfungen bestmöglich versucht, Berechnungsfehler auszuschließen. Trotzdem können Fehler nicht vollständig ausgeschlossen werden. Daher können wir keine juristische Verantwortung und keinerlei Haftung für eventuell verbliebene Fehler und deren Folgen übernehmen.</a:t>
          </a:r>
          <a:endParaRPr lang="de-DE">
            <a:effectLst/>
          </a:endParaRPr>
        </a:p>
        <a:p>
          <a:r>
            <a:rPr lang="de-DE" sz="1100">
              <a:solidFill>
                <a:schemeClr val="dk1"/>
              </a:solidFill>
              <a:effectLst/>
              <a:latin typeface="+mn-lt"/>
              <a:ea typeface="+mn-ea"/>
              <a:cs typeface="+mn-cs"/>
            </a:rPr>
            <a:t> </a:t>
          </a:r>
          <a:endParaRPr lang="de-DE">
            <a:effectLst/>
          </a:endParaRPr>
        </a:p>
        <a:p>
          <a:r>
            <a:rPr lang="de-DE" sz="1100">
              <a:solidFill>
                <a:schemeClr val="dk1"/>
              </a:solidFill>
              <a:effectLst/>
              <a:latin typeface="+mn-lt"/>
              <a:ea typeface="+mn-ea"/>
              <a:cs typeface="+mn-cs"/>
            </a:rPr>
            <a:t>Um etwaige Fehler so weit wie möglich auszuschließen, empfehlen wir dringend und in jedem Fall eigenständige Kontrollrechnungen durchzuführen und ggf. zusätzlichen Rat eines Rechts-, oder Steuerberaters einzuholen.</a:t>
          </a:r>
        </a:p>
        <a:p>
          <a:endParaRPr lang="de-DE">
            <a:effectLst/>
          </a:endParaRPr>
        </a:p>
        <a:p>
          <a:r>
            <a:rPr lang="de-DE" sz="1100" b="1" u="sng">
              <a:solidFill>
                <a:schemeClr val="dk1"/>
              </a:solidFill>
              <a:effectLst/>
              <a:latin typeface="+mn-lt"/>
              <a:ea typeface="+mn-ea"/>
              <a:cs typeface="+mn-cs"/>
            </a:rPr>
            <a:t>Anwendung:</a:t>
          </a:r>
          <a:endParaRPr lang="de-DE">
            <a:effectLst/>
          </a:endParaRPr>
        </a:p>
        <a:p>
          <a:r>
            <a:rPr lang="de-DE" sz="1100" b="1">
              <a:solidFill>
                <a:schemeClr val="dk1"/>
              </a:solidFill>
              <a:effectLst/>
              <a:latin typeface="+mn-lt"/>
              <a:ea typeface="+mn-ea"/>
              <a:cs typeface="+mn-cs"/>
            </a:rPr>
            <a:t>Du musst das Tabellenblatt "Eingabe Kundendaten" und "Eingabe Immodaten" ausfüllen. Alles andere wird automatisch ausgerechnet. </a:t>
          </a:r>
          <a:br>
            <a:rPr lang="de-DE" sz="1100" b="1">
              <a:solidFill>
                <a:schemeClr val="dk1"/>
              </a:solidFill>
              <a:effectLst/>
              <a:latin typeface="+mn-lt"/>
              <a:ea typeface="+mn-ea"/>
              <a:cs typeface="+mn-cs"/>
            </a:rPr>
          </a:br>
          <a:br>
            <a:rPr lang="de-DE" sz="1100">
              <a:solidFill>
                <a:schemeClr val="dk1"/>
              </a:solidFill>
              <a:effectLst/>
              <a:latin typeface="+mn-lt"/>
              <a:ea typeface="+mn-ea"/>
              <a:cs typeface="+mn-cs"/>
            </a:rPr>
          </a:br>
          <a:r>
            <a:rPr lang="de-DE" sz="1100" b="1">
              <a:solidFill>
                <a:schemeClr val="dk1"/>
              </a:solidFill>
              <a:effectLst/>
              <a:latin typeface="+mn-lt"/>
              <a:ea typeface="+mn-ea"/>
              <a:cs typeface="+mn-cs"/>
            </a:rPr>
            <a:t>Eingabe Käuferdaten:</a:t>
          </a:r>
          <a:r>
            <a:rPr lang="de-DE" sz="1100">
              <a:solidFill>
                <a:schemeClr val="dk1"/>
              </a:solidFill>
              <a:effectLst/>
              <a:latin typeface="+mn-lt"/>
              <a:ea typeface="+mn-ea"/>
              <a:cs typeface="+mn-cs"/>
            </a:rPr>
            <a:t> Trage zuerst in den grauen Feldern der Eingabemaske alle Kundendaten ein. Hier findest</a:t>
          </a:r>
          <a:r>
            <a:rPr lang="de-DE" sz="1100" baseline="0">
              <a:solidFill>
                <a:schemeClr val="dk1"/>
              </a:solidFill>
              <a:effectLst/>
              <a:latin typeface="+mn-lt"/>
              <a:ea typeface="+mn-ea"/>
              <a:cs typeface="+mn-cs"/>
            </a:rPr>
            <a:t> Du</a:t>
          </a:r>
          <a:r>
            <a:rPr lang="de-DE" sz="1100">
              <a:solidFill>
                <a:schemeClr val="dk1"/>
              </a:solidFill>
              <a:effectLst/>
              <a:latin typeface="+mn-lt"/>
              <a:ea typeface="+mn-ea"/>
              <a:cs typeface="+mn-cs"/>
            </a:rPr>
            <a:t> auch ein Menü, um zu jedem Tabellenblatt zu springen. Klicke dann auf "weiter" und gehe mit dem Kunden die einzelnen Tabellenblätter durch.</a:t>
          </a:r>
        </a:p>
        <a:p>
          <a:endParaRPr lang="de-DE">
            <a:effectLst/>
          </a:endParaRPr>
        </a:p>
        <a:p>
          <a:r>
            <a:rPr lang="de-DE" sz="1100" b="1">
              <a:solidFill>
                <a:schemeClr val="dk1"/>
              </a:solidFill>
              <a:effectLst/>
              <a:latin typeface="+mn-lt"/>
              <a:ea typeface="+mn-ea"/>
              <a:cs typeface="+mn-cs"/>
            </a:rPr>
            <a:t>Eingabe Immodaten: </a:t>
          </a:r>
          <a:r>
            <a:rPr lang="de-DE" sz="1100" b="0">
              <a:solidFill>
                <a:schemeClr val="dk1"/>
              </a:solidFill>
              <a:effectLst/>
              <a:latin typeface="+mn-lt"/>
              <a:ea typeface="+mn-ea"/>
              <a:cs typeface="+mn-cs"/>
            </a:rPr>
            <a:t>Trage hier alle relevanten Daten zur Immobilie, Finanzierung, Darlehen</a:t>
          </a:r>
          <a:r>
            <a:rPr lang="de-DE" sz="1100" b="0" baseline="0">
              <a:solidFill>
                <a:schemeClr val="dk1"/>
              </a:solidFill>
              <a:effectLst/>
              <a:latin typeface="+mn-lt"/>
              <a:ea typeface="+mn-ea"/>
              <a:cs typeface="+mn-cs"/>
            </a:rPr>
            <a:t> und gewinnberechnung ein.</a:t>
          </a:r>
          <a:endParaRPr lang="de-DE">
            <a:effectLst/>
          </a:endParaRPr>
        </a:p>
        <a:p>
          <a:br>
            <a:rPr lang="de-DE" sz="1100" b="0" i="0" baseline="0">
              <a:solidFill>
                <a:schemeClr val="dk1"/>
              </a:solidFill>
              <a:effectLst/>
              <a:latin typeface="+mn-lt"/>
              <a:ea typeface="+mn-ea"/>
              <a:cs typeface="+mn-cs"/>
            </a:rPr>
          </a:br>
          <a:r>
            <a:rPr lang="de-DE" sz="1100" b="1" i="0" baseline="0">
              <a:solidFill>
                <a:schemeClr val="dk1"/>
              </a:solidFill>
              <a:effectLst/>
              <a:latin typeface="+mn-lt"/>
              <a:ea typeface="+mn-ea"/>
              <a:cs typeface="+mn-cs"/>
            </a:rPr>
            <a:t>Das Tabellenblatt "Sparplan" </a:t>
          </a:r>
          <a:r>
            <a:rPr lang="de-DE" sz="1100" b="0" i="0" baseline="0">
              <a:solidFill>
                <a:schemeClr val="dk1"/>
              </a:solidFill>
              <a:effectLst/>
              <a:latin typeface="+mn-lt"/>
              <a:ea typeface="+mn-ea"/>
              <a:cs typeface="+mn-cs"/>
            </a:rPr>
            <a:t>vergleicht die investierte monatliche Summe bei einem Immobilieninvestment mit der klassischen Anlage in einem Sparplan oder ETF. Hier musst du den Zinssatz, Ansparzeit und Familienstand auswählen. Das Anfangskapital wir der Zelle "Eigenkapital" im Tabellenblatt "Eingabe Immodaten" entnommen.</a:t>
          </a:r>
        </a:p>
        <a:p>
          <a:endParaRPr lang="de-DE">
            <a:effectLst/>
          </a:endParaRPr>
        </a:p>
        <a:p>
          <a:r>
            <a:rPr lang="de-DE" sz="1100" b="0" i="0" baseline="0">
              <a:solidFill>
                <a:schemeClr val="dk1"/>
              </a:solidFill>
              <a:effectLst/>
              <a:latin typeface="+mn-lt"/>
              <a:ea typeface="+mn-ea"/>
              <a:cs typeface="+mn-cs"/>
            </a:rPr>
            <a:t>Im Tabellenblatt "Einstellungen" können die Pauschalen und Auswahlvorgaben angepasst werden.</a:t>
          </a:r>
          <a:endParaRPr lang="de-DE">
            <a:effectLst/>
          </a:endParaRPr>
        </a:p>
      </xdr:txBody>
    </xdr:sp>
    <xdr:clientData/>
  </xdr:twoCellAnchor>
  <xdr:twoCellAnchor editAs="oneCell">
    <xdr:from>
      <xdr:col>5</xdr:col>
      <xdr:colOff>9525</xdr:colOff>
      <xdr:row>0</xdr:row>
      <xdr:rowOff>28575</xdr:rowOff>
    </xdr:from>
    <xdr:to>
      <xdr:col>8</xdr:col>
      <xdr:colOff>171865</xdr:colOff>
      <xdr:row>2</xdr:row>
      <xdr:rowOff>133134</xdr:rowOff>
    </xdr:to>
    <xdr:pic>
      <xdr:nvPicPr>
        <xdr:cNvPr id="10" name="Grafik 9">
          <a:extLst>
            <a:ext uri="{FF2B5EF4-FFF2-40B4-BE49-F238E27FC236}">
              <a16:creationId xmlns:a16="http://schemas.microsoft.com/office/drawing/2014/main" id="{F7CD5530-06DA-724C-80A7-BDA025585C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1350" y="28575"/>
          <a:ext cx="2305465" cy="495084"/>
        </a:xfrm>
        <a:prstGeom prst="rect">
          <a:avLst/>
        </a:prstGeom>
      </xdr:spPr>
    </xdr:pic>
    <xdr:clientData/>
  </xdr:twoCellAnchor>
  <xdr:twoCellAnchor>
    <xdr:from>
      <xdr:col>4</xdr:col>
      <xdr:colOff>314325</xdr:colOff>
      <xdr:row>15</xdr:row>
      <xdr:rowOff>104775</xdr:rowOff>
    </xdr:from>
    <xdr:to>
      <xdr:col>9</xdr:col>
      <xdr:colOff>415925</xdr:colOff>
      <xdr:row>17</xdr:row>
      <xdr:rowOff>149225</xdr:rowOff>
    </xdr:to>
    <xdr:sp macro="" textlink="">
      <xdr:nvSpPr>
        <xdr:cNvPr id="3" name="Rechteck 2">
          <a:hlinkClick xmlns:r="http://schemas.openxmlformats.org/officeDocument/2006/relationships" r:id="rId2"/>
          <a:extLst>
            <a:ext uri="{FF2B5EF4-FFF2-40B4-BE49-F238E27FC236}">
              <a16:creationId xmlns:a16="http://schemas.microsoft.com/office/drawing/2014/main" id="{43A9F1DD-0899-4FAF-AFC0-03CB9A935DC9}"/>
            </a:ext>
          </a:extLst>
        </xdr:cNvPr>
        <xdr:cNvSpPr/>
      </xdr:nvSpPr>
      <xdr:spPr bwMode="auto">
        <a:xfrm>
          <a:off x="2905125" y="2600325"/>
          <a:ext cx="3863975" cy="368300"/>
        </a:xfrm>
        <a:prstGeom prst="rect">
          <a:avLst/>
        </a:prstGeom>
        <a:solidFill>
          <a:schemeClr val="accent2">
            <a:lumMod val="7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lang="de-DE" sz="1100">
              <a:solidFill>
                <a:schemeClr val="bg1"/>
              </a:solidFill>
            </a:rPr>
            <a:t>Hilfe bei der Berechnung anfordern (hier klicken!)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352425</xdr:colOff>
      <xdr:row>0</xdr:row>
      <xdr:rowOff>0</xdr:rowOff>
    </xdr:from>
    <xdr:to>
      <xdr:col>6</xdr:col>
      <xdr:colOff>9940</xdr:colOff>
      <xdr:row>2</xdr:row>
      <xdr:rowOff>133134</xdr:rowOff>
    </xdr:to>
    <xdr:pic>
      <xdr:nvPicPr>
        <xdr:cNvPr id="2" name="Grafik 1">
          <a:extLst>
            <a:ext uri="{FF2B5EF4-FFF2-40B4-BE49-F238E27FC236}">
              <a16:creationId xmlns:a16="http://schemas.microsoft.com/office/drawing/2014/main" id="{07CFB028-B377-4A05-BDAF-FCF2995D4C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8350" y="0"/>
          <a:ext cx="2305465" cy="4950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400050</xdr:colOff>
      <xdr:row>35</xdr:row>
      <xdr:rowOff>66675</xdr:rowOff>
    </xdr:from>
    <xdr:to>
      <xdr:col>1</xdr:col>
      <xdr:colOff>2257840</xdr:colOff>
      <xdr:row>38</xdr:row>
      <xdr:rowOff>75984</xdr:rowOff>
    </xdr:to>
    <xdr:pic>
      <xdr:nvPicPr>
        <xdr:cNvPr id="2" name="Grafik 1">
          <a:extLst>
            <a:ext uri="{FF2B5EF4-FFF2-40B4-BE49-F238E27FC236}">
              <a16:creationId xmlns:a16="http://schemas.microsoft.com/office/drawing/2014/main" id="{3A98F4FC-CDC4-41E0-90DB-B61603286E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0050" y="6096000"/>
          <a:ext cx="2305465" cy="4950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904875</xdr:colOff>
      <xdr:row>21</xdr:row>
      <xdr:rowOff>152400</xdr:rowOff>
    </xdr:from>
    <xdr:to>
      <xdr:col>6</xdr:col>
      <xdr:colOff>4763</xdr:colOff>
      <xdr:row>38</xdr:row>
      <xdr:rowOff>76200</xdr:rowOff>
    </xdr:to>
    <xdr:graphicFrame macro="">
      <xdr:nvGraphicFramePr>
        <xdr:cNvPr id="5" name="Diagramm 4">
          <a:extLst>
            <a:ext uri="{FF2B5EF4-FFF2-40B4-BE49-F238E27FC236}">
              <a16:creationId xmlns:a16="http://schemas.microsoft.com/office/drawing/2014/main" id="{FE36B2BA-E934-4B91-9FAE-4CFEB0A70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390525</xdr:colOff>
      <xdr:row>21</xdr:row>
      <xdr:rowOff>142875</xdr:rowOff>
    </xdr:from>
    <xdr:to>
      <xdr:col>2</xdr:col>
      <xdr:colOff>290513</xdr:colOff>
      <xdr:row>38</xdr:row>
      <xdr:rowOff>66675</xdr:rowOff>
    </xdr:to>
    <xdr:graphicFrame macro="">
      <xdr:nvGraphicFramePr>
        <xdr:cNvPr id="6" name="Diagramm 5">
          <a:extLst>
            <a:ext uri="{FF2B5EF4-FFF2-40B4-BE49-F238E27FC236}">
              <a16:creationId xmlns:a16="http://schemas.microsoft.com/office/drawing/2014/main" id="{06E43D3C-134D-4865-9BBF-B6ABF8C327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342900</xdr:colOff>
      <xdr:row>0</xdr:row>
      <xdr:rowOff>19050</xdr:rowOff>
    </xdr:from>
    <xdr:to>
      <xdr:col>6</xdr:col>
      <xdr:colOff>415</xdr:colOff>
      <xdr:row>2</xdr:row>
      <xdr:rowOff>152184</xdr:rowOff>
    </xdr:to>
    <xdr:pic>
      <xdr:nvPicPr>
        <xdr:cNvPr id="2" name="Grafik 1">
          <a:extLst>
            <a:ext uri="{FF2B5EF4-FFF2-40B4-BE49-F238E27FC236}">
              <a16:creationId xmlns:a16="http://schemas.microsoft.com/office/drawing/2014/main" id="{4E557CC3-81F0-41B1-B6AA-43D7501A32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391150" y="19050"/>
          <a:ext cx="2305465" cy="4950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1285874</xdr:colOff>
      <xdr:row>38</xdr:row>
      <xdr:rowOff>114299</xdr:rowOff>
    </xdr:from>
    <xdr:to>
      <xdr:col>5</xdr:col>
      <xdr:colOff>1542599</xdr:colOff>
      <xdr:row>58</xdr:row>
      <xdr:rowOff>115799</xdr:rowOff>
    </xdr:to>
    <xdr:graphicFrame macro="">
      <xdr:nvGraphicFramePr>
        <xdr:cNvPr id="3" name="Diagramm 2">
          <a:extLst>
            <a:ext uri="{FF2B5EF4-FFF2-40B4-BE49-F238E27FC236}">
              <a16:creationId xmlns:a16="http://schemas.microsoft.com/office/drawing/2014/main" id="{F95BB654-DF8C-0346-31D5-8984606810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228599</xdr:colOff>
      <xdr:row>38</xdr:row>
      <xdr:rowOff>114301</xdr:rowOff>
    </xdr:from>
    <xdr:to>
      <xdr:col>4</xdr:col>
      <xdr:colOff>1199699</xdr:colOff>
      <xdr:row>58</xdr:row>
      <xdr:rowOff>115801</xdr:rowOff>
    </xdr:to>
    <xdr:graphicFrame macro="">
      <xdr:nvGraphicFramePr>
        <xdr:cNvPr id="5" name="Diagramm 4">
          <a:extLst>
            <a:ext uri="{FF2B5EF4-FFF2-40B4-BE49-F238E27FC236}">
              <a16:creationId xmlns:a16="http://schemas.microsoft.com/office/drawing/2014/main" id="{BEB56513-78BD-4350-B647-14AEF97E2B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238124</xdr:colOff>
      <xdr:row>38</xdr:row>
      <xdr:rowOff>114299</xdr:rowOff>
    </xdr:from>
    <xdr:to>
      <xdr:col>2</xdr:col>
      <xdr:colOff>151949</xdr:colOff>
      <xdr:row>58</xdr:row>
      <xdr:rowOff>115799</xdr:rowOff>
    </xdr:to>
    <xdr:graphicFrame macro="">
      <xdr:nvGraphicFramePr>
        <xdr:cNvPr id="6" name="Diagramm 5">
          <a:extLst>
            <a:ext uri="{FF2B5EF4-FFF2-40B4-BE49-F238E27FC236}">
              <a16:creationId xmlns:a16="http://schemas.microsoft.com/office/drawing/2014/main" id="{76626196-F8AD-491D-8C2E-DDDA93201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33</xdr:row>
      <xdr:rowOff>0</xdr:rowOff>
    </xdr:from>
    <xdr:to>
      <xdr:col>6</xdr:col>
      <xdr:colOff>9525</xdr:colOff>
      <xdr:row>33</xdr:row>
      <xdr:rowOff>0</xdr:rowOff>
    </xdr:to>
    <xdr:cxnSp macro="">
      <xdr:nvCxnSpPr>
        <xdr:cNvPr id="7" name="Gerader Verbinder 6">
          <a:extLst>
            <a:ext uri="{FF2B5EF4-FFF2-40B4-BE49-F238E27FC236}">
              <a16:creationId xmlns:a16="http://schemas.microsoft.com/office/drawing/2014/main" id="{250448E0-4A67-467F-B405-44A732B79AFB}"/>
            </a:ext>
          </a:extLst>
        </xdr:cNvPr>
        <xdr:cNvCxnSpPr/>
      </xdr:nvCxnSpPr>
      <xdr:spPr bwMode="auto">
        <a:xfrm>
          <a:off x="247650" y="6696075"/>
          <a:ext cx="10963275" cy="0"/>
        </a:xfrm>
        <a:prstGeom prst="line">
          <a:avLst/>
        </a:prstGeom>
        <a:ln w="9525" cap="flat" cmpd="sng" algn="ctr">
          <a:solidFill>
            <a:sysClr val="windowText" lastClr="000000"/>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editAs="oneCell">
    <xdr:from>
      <xdr:col>2</xdr:col>
      <xdr:colOff>847725</xdr:colOff>
      <xdr:row>28</xdr:row>
      <xdr:rowOff>85725</xdr:rowOff>
    </xdr:from>
    <xdr:to>
      <xdr:col>4</xdr:col>
      <xdr:colOff>521115</xdr:colOff>
      <xdr:row>31</xdr:row>
      <xdr:rowOff>10990</xdr:rowOff>
    </xdr:to>
    <xdr:pic>
      <xdr:nvPicPr>
        <xdr:cNvPr id="2" name="Grafik 1">
          <a:extLst>
            <a:ext uri="{FF2B5EF4-FFF2-40B4-BE49-F238E27FC236}">
              <a16:creationId xmlns:a16="http://schemas.microsoft.com/office/drawing/2014/main" id="{F8D28429-BC79-413B-8412-2B030641468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276850" y="6000750"/>
          <a:ext cx="2305465" cy="4950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1238250</xdr:colOff>
      <xdr:row>23</xdr:row>
      <xdr:rowOff>161925</xdr:rowOff>
    </xdr:from>
    <xdr:to>
      <xdr:col>1</xdr:col>
      <xdr:colOff>3543715</xdr:colOff>
      <xdr:row>26</xdr:row>
      <xdr:rowOff>85509</xdr:rowOff>
    </xdr:to>
    <xdr:pic>
      <xdr:nvPicPr>
        <xdr:cNvPr id="2" name="Grafik 1">
          <a:extLst>
            <a:ext uri="{FF2B5EF4-FFF2-40B4-BE49-F238E27FC236}">
              <a16:creationId xmlns:a16="http://schemas.microsoft.com/office/drawing/2014/main" id="{E3632656-21F7-4F66-833A-9929E39E50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14475" y="4857750"/>
          <a:ext cx="2305465" cy="4950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193672</xdr:colOff>
      <xdr:row>39</xdr:row>
      <xdr:rowOff>130175</xdr:rowOff>
    </xdr:from>
    <xdr:to>
      <xdr:col>9</xdr:col>
      <xdr:colOff>986047</xdr:colOff>
      <xdr:row>54</xdr:row>
      <xdr:rowOff>67609</xdr:rowOff>
    </xdr:to>
    <xdr:graphicFrame macro="">
      <xdr:nvGraphicFramePr>
        <xdr:cNvPr id="2" name="Diagramm 1">
          <a:extLst>
            <a:ext uri="{FF2B5EF4-FFF2-40B4-BE49-F238E27FC236}">
              <a16:creationId xmlns:a16="http://schemas.microsoft.com/office/drawing/2014/main" id="{73AC4845-A2EA-4662-95DB-A79F425A89D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77879</xdr:colOff>
      <xdr:row>3</xdr:row>
      <xdr:rowOff>8404</xdr:rowOff>
    </xdr:from>
    <xdr:to>
      <xdr:col>9</xdr:col>
      <xdr:colOff>2085975</xdr:colOff>
      <xdr:row>15</xdr:row>
      <xdr:rowOff>28576</xdr:rowOff>
    </xdr:to>
    <xdr:graphicFrame macro="">
      <xdr:nvGraphicFramePr>
        <xdr:cNvPr id="2" name="Diagramm 1">
          <a:extLst>
            <a:ext uri="{FF2B5EF4-FFF2-40B4-BE49-F238E27FC236}">
              <a16:creationId xmlns:a16="http://schemas.microsoft.com/office/drawing/2014/main" id="{F8839248-7255-49F9-86A9-66744A875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95252</xdr:colOff>
      <xdr:row>21</xdr:row>
      <xdr:rowOff>0</xdr:rowOff>
    </xdr:from>
    <xdr:to>
      <xdr:col>9</xdr:col>
      <xdr:colOff>2085975</xdr:colOff>
      <xdr:row>34</xdr:row>
      <xdr:rowOff>0</xdr:rowOff>
    </xdr:to>
    <xdr:graphicFrame macro="">
      <xdr:nvGraphicFramePr>
        <xdr:cNvPr id="3" name="Diagramm 2">
          <a:extLst>
            <a:ext uri="{FF2B5EF4-FFF2-40B4-BE49-F238E27FC236}">
              <a16:creationId xmlns:a16="http://schemas.microsoft.com/office/drawing/2014/main" id="{40E8DCB1-43C3-42AE-A1D0-7B1895CCA5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365125</xdr:colOff>
      <xdr:row>34</xdr:row>
      <xdr:rowOff>123825</xdr:rowOff>
    </xdr:from>
    <xdr:to>
      <xdr:col>2</xdr:col>
      <xdr:colOff>8215</xdr:colOff>
      <xdr:row>37</xdr:row>
      <xdr:rowOff>9525</xdr:rowOff>
    </xdr:to>
    <xdr:pic>
      <xdr:nvPicPr>
        <xdr:cNvPr id="4" name="Grafik 3">
          <a:extLst>
            <a:ext uri="{FF2B5EF4-FFF2-40B4-BE49-F238E27FC236}">
              <a16:creationId xmlns:a16="http://schemas.microsoft.com/office/drawing/2014/main" id="{3F2294F6-DD5C-4F64-83B4-1F3EC2D5040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5125" y="6505575"/>
          <a:ext cx="1843365" cy="3714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19050</xdr:colOff>
      <xdr:row>17</xdr:row>
      <xdr:rowOff>9525</xdr:rowOff>
    </xdr:from>
    <xdr:to>
      <xdr:col>4</xdr:col>
      <xdr:colOff>1314450</xdr:colOff>
      <xdr:row>17</xdr:row>
      <xdr:rowOff>9525</xdr:rowOff>
    </xdr:to>
    <xdr:cxnSp macro="">
      <xdr:nvCxnSpPr>
        <xdr:cNvPr id="2" name="Gerade Verbindung mit Pfeil 1">
          <a:extLst>
            <a:ext uri="{FF2B5EF4-FFF2-40B4-BE49-F238E27FC236}">
              <a16:creationId xmlns:a16="http://schemas.microsoft.com/office/drawing/2014/main" id="{0D0D2407-E2D5-41B7-A295-6882C5E21F08}"/>
            </a:ext>
          </a:extLst>
        </xdr:cNvPr>
        <xdr:cNvCxnSpPr/>
      </xdr:nvCxnSpPr>
      <xdr:spPr bwMode="auto">
        <a:xfrm>
          <a:off x="1628775" y="3171825"/>
          <a:ext cx="4629150" cy="0"/>
        </a:xfrm>
        <a:prstGeom prst="straightConnector1">
          <a:avLst/>
        </a:prstGeom>
        <a:ln w="28575">
          <a:solidFill>
            <a:schemeClr val="tx1"/>
          </a:solidFill>
          <a:prstDash val="sysDash"/>
          <a:headEnd type="none" w="med" len="med"/>
          <a:tailEnd type="triangle"/>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2</xdr:col>
      <xdr:colOff>0</xdr:colOff>
      <xdr:row>17</xdr:row>
      <xdr:rowOff>76200</xdr:rowOff>
    </xdr:from>
    <xdr:to>
      <xdr:col>4</xdr:col>
      <xdr:colOff>1409700</xdr:colOff>
      <xdr:row>27</xdr:row>
      <xdr:rowOff>38100</xdr:rowOff>
    </xdr:to>
    <xdr:cxnSp macro="">
      <xdr:nvCxnSpPr>
        <xdr:cNvPr id="4" name="Gerade Verbindung mit Pfeil 3">
          <a:extLst>
            <a:ext uri="{FF2B5EF4-FFF2-40B4-BE49-F238E27FC236}">
              <a16:creationId xmlns:a16="http://schemas.microsoft.com/office/drawing/2014/main" id="{F7675460-99DA-49D4-AA8B-7945B74FA680}"/>
            </a:ext>
          </a:extLst>
        </xdr:cNvPr>
        <xdr:cNvCxnSpPr/>
      </xdr:nvCxnSpPr>
      <xdr:spPr bwMode="auto">
        <a:xfrm>
          <a:off x="1685925" y="3190875"/>
          <a:ext cx="4905375" cy="1809750"/>
        </a:xfrm>
        <a:prstGeom prst="straightConnector1">
          <a:avLst/>
        </a:prstGeom>
        <a:ln w="57150">
          <a:headEnd type="none" w="med" len="med"/>
          <a:tailEnd type="triangle"/>
        </a:ln>
        <a:effectLst>
          <a:outerShdw blurRad="50800" dist="38100" dir="2700000" algn="tl" rotWithShape="0">
            <a:prstClr val="black">
              <a:alpha val="40000"/>
            </a:prstClr>
          </a:outerShdw>
        </a:effectLst>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733425</xdr:colOff>
      <xdr:row>18</xdr:row>
      <xdr:rowOff>19051</xdr:rowOff>
    </xdr:from>
    <xdr:to>
      <xdr:col>5</xdr:col>
      <xdr:colOff>733425</xdr:colOff>
      <xdr:row>25</xdr:row>
      <xdr:rowOff>145576</xdr:rowOff>
    </xdr:to>
    <xdr:cxnSp macro="">
      <xdr:nvCxnSpPr>
        <xdr:cNvPr id="5" name="Gerade Verbindung mit Pfeil 4">
          <a:extLst>
            <a:ext uri="{FF2B5EF4-FFF2-40B4-BE49-F238E27FC236}">
              <a16:creationId xmlns:a16="http://schemas.microsoft.com/office/drawing/2014/main" id="{F8EBC919-7889-458A-8EB0-4AA5652CCBC6}"/>
            </a:ext>
          </a:extLst>
        </xdr:cNvPr>
        <xdr:cNvCxnSpPr/>
      </xdr:nvCxnSpPr>
      <xdr:spPr bwMode="auto">
        <a:xfrm flipH="1" flipV="1">
          <a:off x="7029450" y="3381376"/>
          <a:ext cx="0" cy="1412400"/>
        </a:xfrm>
        <a:prstGeom prst="straightConnector1">
          <a:avLst/>
        </a:prstGeom>
        <a:ln w="57150">
          <a:headEnd type="none" w="med" len="med"/>
          <a:tailEnd type="triangle"/>
        </a:ln>
        <a:effectLst>
          <a:outerShdw blurRad="50800" dist="38100" dir="2700000" algn="tl" rotWithShape="0">
            <a:prstClr val="black">
              <a:alpha val="40000"/>
            </a:prstClr>
          </a:outerShdw>
        </a:effectLst>
      </xdr:spPr>
      <xdr:style>
        <a:lnRef idx="3">
          <a:schemeClr val="accent5"/>
        </a:lnRef>
        <a:fillRef idx="0">
          <a:schemeClr val="accent5"/>
        </a:fillRef>
        <a:effectRef idx="2">
          <a:schemeClr val="accent5"/>
        </a:effectRef>
        <a:fontRef idx="minor">
          <a:schemeClr val="tx1"/>
        </a:fontRef>
      </xdr:style>
    </xdr:cxnSp>
    <xdr:clientData/>
  </xdr:twoCellAnchor>
  <xdr:twoCellAnchor>
    <xdr:from>
      <xdr:col>5</xdr:col>
      <xdr:colOff>733425</xdr:colOff>
      <xdr:row>8</xdr:row>
      <xdr:rowOff>19052</xdr:rowOff>
    </xdr:from>
    <xdr:to>
      <xdr:col>5</xdr:col>
      <xdr:colOff>733425</xdr:colOff>
      <xdr:row>15</xdr:row>
      <xdr:rowOff>174152</xdr:rowOff>
    </xdr:to>
    <xdr:cxnSp macro="">
      <xdr:nvCxnSpPr>
        <xdr:cNvPr id="6" name="Gerade Verbindung mit Pfeil 5">
          <a:extLst>
            <a:ext uri="{FF2B5EF4-FFF2-40B4-BE49-F238E27FC236}">
              <a16:creationId xmlns:a16="http://schemas.microsoft.com/office/drawing/2014/main" id="{062B9272-C6DF-4EFA-82AD-10AC05ACB649}"/>
            </a:ext>
          </a:extLst>
        </xdr:cNvPr>
        <xdr:cNvCxnSpPr/>
      </xdr:nvCxnSpPr>
      <xdr:spPr bwMode="auto">
        <a:xfrm>
          <a:off x="7029450" y="1466852"/>
          <a:ext cx="0" cy="1479075"/>
        </a:xfrm>
        <a:prstGeom prst="straightConnector1">
          <a:avLst/>
        </a:prstGeom>
        <a:ln w="57150">
          <a:headEnd type="none" w="med" len="med"/>
          <a:tailEnd type="triangle"/>
        </a:ln>
        <a:effectLst>
          <a:outerShdw blurRad="50800" dist="38100" dir="2700000" algn="tl" rotWithShape="0">
            <a:prstClr val="black">
              <a:alpha val="40000"/>
            </a:prstClr>
          </a:outerShdw>
        </a:effectLst>
      </xdr:spPr>
      <xdr:style>
        <a:lnRef idx="3">
          <a:schemeClr val="accent6"/>
        </a:lnRef>
        <a:fillRef idx="0">
          <a:schemeClr val="accent6"/>
        </a:fillRef>
        <a:effectRef idx="2">
          <a:schemeClr val="accent6"/>
        </a:effectRef>
        <a:fontRef idx="minor">
          <a:schemeClr val="tx1"/>
        </a:fontRef>
      </xdr:style>
    </xdr:cxnSp>
    <xdr:clientData/>
  </xdr:twoCellAnchor>
  <xdr:twoCellAnchor>
    <xdr:from>
      <xdr:col>2</xdr:col>
      <xdr:colOff>0</xdr:colOff>
      <xdr:row>7</xdr:row>
      <xdr:rowOff>6350</xdr:rowOff>
    </xdr:from>
    <xdr:to>
      <xdr:col>4</xdr:col>
      <xdr:colOff>1388150</xdr:colOff>
      <xdr:row>16</xdr:row>
      <xdr:rowOff>152400</xdr:rowOff>
    </xdr:to>
    <xdr:cxnSp macro="">
      <xdr:nvCxnSpPr>
        <xdr:cNvPr id="8" name="Gerade Verbindung mit Pfeil 7">
          <a:extLst>
            <a:ext uri="{FF2B5EF4-FFF2-40B4-BE49-F238E27FC236}">
              <a16:creationId xmlns:a16="http://schemas.microsoft.com/office/drawing/2014/main" id="{7DF9A780-72B8-4C02-92CA-0CFD6B23270A}"/>
            </a:ext>
          </a:extLst>
        </xdr:cNvPr>
        <xdr:cNvCxnSpPr/>
      </xdr:nvCxnSpPr>
      <xdr:spPr bwMode="auto">
        <a:xfrm flipV="1">
          <a:off x="1685925" y="1273175"/>
          <a:ext cx="4883825" cy="1793875"/>
        </a:xfrm>
        <a:prstGeom prst="straightConnector1">
          <a:avLst/>
        </a:prstGeom>
        <a:ln w="57150">
          <a:headEnd type="none" w="med" len="med"/>
          <a:tailEnd type="triangle"/>
        </a:ln>
        <a:effectLst>
          <a:outerShdw blurRad="50800" dist="38100" dir="2700000" algn="tl" rotWithShape="0">
            <a:prstClr val="black">
              <a:alpha val="40000"/>
            </a:prstClr>
          </a:outerShdw>
        </a:effectLst>
      </xdr:spPr>
      <xdr:style>
        <a:lnRef idx="3">
          <a:schemeClr val="accent6"/>
        </a:lnRef>
        <a:fillRef idx="0">
          <a:schemeClr val="accent6"/>
        </a:fillRef>
        <a:effectRef idx="2">
          <a:schemeClr val="accent6"/>
        </a:effectRef>
        <a:fontRef idx="minor">
          <a:schemeClr val="tx1"/>
        </a:fontRef>
      </xdr:style>
    </xdr:cxnSp>
    <xdr:clientData/>
  </xdr:twoCellAnchor>
  <xdr:twoCellAnchor>
    <xdr:from>
      <xdr:col>1</xdr:col>
      <xdr:colOff>0</xdr:colOff>
      <xdr:row>12</xdr:row>
      <xdr:rowOff>135996</xdr:rowOff>
    </xdr:from>
    <xdr:to>
      <xdr:col>1</xdr:col>
      <xdr:colOff>1285875</xdr:colOff>
      <xdr:row>16</xdr:row>
      <xdr:rowOff>2646</xdr:rowOff>
    </xdr:to>
    <xdr:sp macro="" textlink="">
      <xdr:nvSpPr>
        <xdr:cNvPr id="3" name="Flussdiagramm: Auszug 2">
          <a:extLst>
            <a:ext uri="{FF2B5EF4-FFF2-40B4-BE49-F238E27FC236}">
              <a16:creationId xmlns:a16="http://schemas.microsoft.com/office/drawing/2014/main" id="{7F8862D9-E09B-1C3C-CE0F-4559D4CF7A9F}"/>
            </a:ext>
          </a:extLst>
        </xdr:cNvPr>
        <xdr:cNvSpPr/>
      </xdr:nvSpPr>
      <xdr:spPr bwMode="auto">
        <a:xfrm>
          <a:off x="390525" y="2326746"/>
          <a:ext cx="1285875" cy="590550"/>
        </a:xfrm>
        <a:prstGeom prst="flowChartExtract">
          <a:avLst/>
        </a:prstGeom>
        <a:solidFill>
          <a:schemeClr val="accent1">
            <a:lumMod val="50000"/>
          </a:schemeClr>
        </a:solidFill>
        <a:ln w="9525" cap="flat" cmpd="sng" algn="ctr">
          <a:solidFill>
            <a:srgbClr val="5B6171"/>
          </a:solidFill>
          <a:prstDash val="solid"/>
          <a:round/>
          <a:headEnd type="none" w="med" len="med"/>
          <a:tailEnd type="none" w="med" len="med"/>
        </a:ln>
        <a:effectLst/>
      </xdr:spPr>
      <xdr:txBody>
        <a:bodyPr vertOverflow="clip" wrap="square" lIns="18288" tIns="0" rIns="0" bIns="0" rtlCol="0" anchor="ctr" upright="1"/>
        <a:lstStyle/>
        <a:p>
          <a:pPr algn="l"/>
          <a:endParaRPr lang="de-DE" sz="1100"/>
        </a:p>
      </xdr:txBody>
    </xdr:sp>
    <xdr:clientData/>
  </xdr:twoCellAnchor>
  <xdr:twoCellAnchor>
    <xdr:from>
      <xdr:col>5</xdr:col>
      <xdr:colOff>9525</xdr:colOff>
      <xdr:row>2</xdr:row>
      <xdr:rowOff>155178</xdr:rowOff>
    </xdr:from>
    <xdr:to>
      <xdr:col>5</xdr:col>
      <xdr:colOff>1514475</xdr:colOff>
      <xdr:row>5</xdr:row>
      <xdr:rowOff>193278</xdr:rowOff>
    </xdr:to>
    <xdr:sp macro="" textlink="">
      <xdr:nvSpPr>
        <xdr:cNvPr id="7" name="Flussdiagramm: Auszug 6">
          <a:extLst>
            <a:ext uri="{FF2B5EF4-FFF2-40B4-BE49-F238E27FC236}">
              <a16:creationId xmlns:a16="http://schemas.microsoft.com/office/drawing/2014/main" id="{746E408C-3DFC-4CA3-8D1E-99D33F9CAC75}"/>
            </a:ext>
          </a:extLst>
        </xdr:cNvPr>
        <xdr:cNvSpPr/>
      </xdr:nvSpPr>
      <xdr:spPr bwMode="auto">
        <a:xfrm>
          <a:off x="6610350" y="479028"/>
          <a:ext cx="1504950" cy="581025"/>
        </a:xfrm>
        <a:prstGeom prst="flowChartExtract">
          <a:avLst/>
        </a:prstGeom>
        <a:solidFill>
          <a:schemeClr val="accent1">
            <a:lumMod val="50000"/>
          </a:schemeClr>
        </a:solidFill>
        <a:ln w="9525" cap="flat" cmpd="sng" algn="ctr">
          <a:solidFill>
            <a:srgbClr val="5B6171"/>
          </a:solidFill>
          <a:prstDash val="solid"/>
          <a:round/>
          <a:headEnd type="none" w="med" len="med"/>
          <a:tailEnd type="none" w="med" len="med"/>
        </a:ln>
        <a:effectLst/>
      </xdr:spPr>
      <xdr:txBody>
        <a:bodyPr vertOverflow="clip" wrap="square" lIns="18288" tIns="0" rIns="0" bIns="0" rtlCol="0" anchor="ctr" upright="1"/>
        <a:lstStyle/>
        <a:p>
          <a:pPr algn="l"/>
          <a:endParaRPr lang="de-DE" sz="1100"/>
        </a:p>
      </xdr:txBody>
    </xdr:sp>
    <xdr:clientData/>
  </xdr:twoCellAnchor>
  <xdr:twoCellAnchor editAs="oneCell">
    <xdr:from>
      <xdr:col>4</xdr:col>
      <xdr:colOff>971549</xdr:colOff>
      <xdr:row>1</xdr:row>
      <xdr:rowOff>76200</xdr:rowOff>
    </xdr:from>
    <xdr:to>
      <xdr:col>4</xdr:col>
      <xdr:colOff>1308099</xdr:colOff>
      <xdr:row>3</xdr:row>
      <xdr:rowOff>63500</xdr:rowOff>
    </xdr:to>
    <xdr:pic>
      <xdr:nvPicPr>
        <xdr:cNvPr id="10" name="Grafik 9" descr="Euro mit einfarbiger Füllung">
          <a:extLst>
            <a:ext uri="{FF2B5EF4-FFF2-40B4-BE49-F238E27FC236}">
              <a16:creationId xmlns:a16="http://schemas.microsoft.com/office/drawing/2014/main" id="{8FB72BD4-37CE-4A18-6A04-1A5E4CD384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15024" y="238125"/>
          <a:ext cx="333375" cy="333375"/>
        </a:xfrm>
        <a:prstGeom prst="rect">
          <a:avLst/>
        </a:prstGeom>
      </xdr:spPr>
    </xdr:pic>
    <xdr:clientData/>
  </xdr:twoCellAnchor>
  <xdr:twoCellAnchor>
    <xdr:from>
      <xdr:col>4</xdr:col>
      <xdr:colOff>1028700</xdr:colOff>
      <xdr:row>2</xdr:row>
      <xdr:rowOff>76200</xdr:rowOff>
    </xdr:from>
    <xdr:to>
      <xdr:col>5</xdr:col>
      <xdr:colOff>323850</xdr:colOff>
      <xdr:row>5</xdr:row>
      <xdr:rowOff>114300</xdr:rowOff>
    </xdr:to>
    <xdr:sp macro="" textlink="">
      <xdr:nvSpPr>
        <xdr:cNvPr id="11" name="Bogen 10">
          <a:extLst>
            <a:ext uri="{FF2B5EF4-FFF2-40B4-BE49-F238E27FC236}">
              <a16:creationId xmlns:a16="http://schemas.microsoft.com/office/drawing/2014/main" id="{862525C5-59A7-F4E3-9EA6-91F48BC04275}"/>
            </a:ext>
          </a:extLst>
        </xdr:cNvPr>
        <xdr:cNvSpPr/>
      </xdr:nvSpPr>
      <xdr:spPr bwMode="auto">
        <a:xfrm>
          <a:off x="5972175" y="400050"/>
          <a:ext cx="647700" cy="581025"/>
        </a:xfrm>
        <a:prstGeom prst="arc">
          <a:avLst>
            <a:gd name="adj1" fmla="val 16200000"/>
            <a:gd name="adj2" fmla="val 2367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lang="de-DE" sz="1100"/>
        </a:p>
      </xdr:txBody>
    </xdr:sp>
    <xdr:clientData/>
  </xdr:twoCellAnchor>
  <xdr:twoCellAnchor editAs="oneCell">
    <xdr:from>
      <xdr:col>6</xdr:col>
      <xdr:colOff>57150</xdr:colOff>
      <xdr:row>0</xdr:row>
      <xdr:rowOff>57150</xdr:rowOff>
    </xdr:from>
    <xdr:to>
      <xdr:col>6</xdr:col>
      <xdr:colOff>387350</xdr:colOff>
      <xdr:row>2</xdr:row>
      <xdr:rowOff>63500</xdr:rowOff>
    </xdr:to>
    <xdr:pic>
      <xdr:nvPicPr>
        <xdr:cNvPr id="12" name="Grafik 11" descr="Euro mit einfarbiger Füllung">
          <a:extLst>
            <a:ext uri="{FF2B5EF4-FFF2-40B4-BE49-F238E27FC236}">
              <a16:creationId xmlns:a16="http://schemas.microsoft.com/office/drawing/2014/main" id="{769F4B6E-7BEB-43DB-802B-3BA9580155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820025" y="57150"/>
          <a:ext cx="333375" cy="333375"/>
        </a:xfrm>
        <a:prstGeom prst="rect">
          <a:avLst/>
        </a:prstGeom>
      </xdr:spPr>
    </xdr:pic>
    <xdr:clientData/>
  </xdr:twoCellAnchor>
  <xdr:twoCellAnchor>
    <xdr:from>
      <xdr:col>5</xdr:col>
      <xdr:colOff>1133475</xdr:colOff>
      <xdr:row>2</xdr:row>
      <xdr:rowOff>95250</xdr:rowOff>
    </xdr:from>
    <xdr:to>
      <xdr:col>7</xdr:col>
      <xdr:colOff>285753</xdr:colOff>
      <xdr:row>6</xdr:row>
      <xdr:rowOff>38099</xdr:rowOff>
    </xdr:to>
    <xdr:sp macro="" textlink="">
      <xdr:nvSpPr>
        <xdr:cNvPr id="13" name="Bogen 12">
          <a:extLst>
            <a:ext uri="{FF2B5EF4-FFF2-40B4-BE49-F238E27FC236}">
              <a16:creationId xmlns:a16="http://schemas.microsoft.com/office/drawing/2014/main" id="{155935C1-340B-43CB-85BA-1B469613352B}"/>
            </a:ext>
          </a:extLst>
        </xdr:cNvPr>
        <xdr:cNvSpPr/>
      </xdr:nvSpPr>
      <xdr:spPr bwMode="auto">
        <a:xfrm rot="16200000">
          <a:off x="7786689" y="61911"/>
          <a:ext cx="666749" cy="1381128"/>
        </a:xfrm>
        <a:prstGeom prst="arc">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lang="de-DE" sz="1100"/>
        </a:p>
      </xdr:txBody>
    </xdr:sp>
    <xdr:clientData/>
  </xdr:twoCellAnchor>
  <xdr:twoCellAnchor editAs="oneCell">
    <xdr:from>
      <xdr:col>6</xdr:col>
      <xdr:colOff>190500</xdr:colOff>
      <xdr:row>3</xdr:row>
      <xdr:rowOff>47625</xdr:rowOff>
    </xdr:from>
    <xdr:to>
      <xdr:col>6</xdr:col>
      <xdr:colOff>520700</xdr:colOff>
      <xdr:row>5</xdr:row>
      <xdr:rowOff>19050</xdr:rowOff>
    </xdr:to>
    <xdr:pic>
      <xdr:nvPicPr>
        <xdr:cNvPr id="14" name="Grafik 13" descr="Euro mit einfarbiger Füllung">
          <a:extLst>
            <a:ext uri="{FF2B5EF4-FFF2-40B4-BE49-F238E27FC236}">
              <a16:creationId xmlns:a16="http://schemas.microsoft.com/office/drawing/2014/main" id="{56475E0B-4FC1-403A-8A0E-41EB16D74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953375" y="552450"/>
          <a:ext cx="333375" cy="333375"/>
        </a:xfrm>
        <a:prstGeom prst="rect">
          <a:avLst/>
        </a:prstGeom>
      </xdr:spPr>
    </xdr:pic>
    <xdr:clientData/>
  </xdr:twoCellAnchor>
  <xdr:twoCellAnchor editAs="oneCell">
    <xdr:from>
      <xdr:col>6</xdr:col>
      <xdr:colOff>476250</xdr:colOff>
      <xdr:row>1</xdr:row>
      <xdr:rowOff>57150</xdr:rowOff>
    </xdr:from>
    <xdr:to>
      <xdr:col>7</xdr:col>
      <xdr:colOff>44450</xdr:colOff>
      <xdr:row>3</xdr:row>
      <xdr:rowOff>44450</xdr:rowOff>
    </xdr:to>
    <xdr:pic>
      <xdr:nvPicPr>
        <xdr:cNvPr id="15" name="Grafik 14" descr="Euro mit einfarbiger Füllung">
          <a:extLst>
            <a:ext uri="{FF2B5EF4-FFF2-40B4-BE49-F238E27FC236}">
              <a16:creationId xmlns:a16="http://schemas.microsoft.com/office/drawing/2014/main" id="{9BDAF469-F46A-4863-B466-08E23FCBE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39125" y="219075"/>
          <a:ext cx="333375" cy="333375"/>
        </a:xfrm>
        <a:prstGeom prst="rect">
          <a:avLst/>
        </a:prstGeom>
      </xdr:spPr>
    </xdr:pic>
    <xdr:clientData/>
  </xdr:twoCellAnchor>
  <xdr:twoCellAnchor>
    <xdr:from>
      <xdr:col>7</xdr:col>
      <xdr:colOff>0</xdr:colOff>
      <xdr:row>17</xdr:row>
      <xdr:rowOff>0</xdr:rowOff>
    </xdr:from>
    <xdr:to>
      <xdr:col>9</xdr:col>
      <xdr:colOff>19050</xdr:colOff>
      <xdr:row>28</xdr:row>
      <xdr:rowOff>19050</xdr:rowOff>
    </xdr:to>
    <xdr:graphicFrame macro="">
      <xdr:nvGraphicFramePr>
        <xdr:cNvPr id="9" name="Diagramm 8">
          <a:extLst>
            <a:ext uri="{FF2B5EF4-FFF2-40B4-BE49-F238E27FC236}">
              <a16:creationId xmlns:a16="http://schemas.microsoft.com/office/drawing/2014/main" id="{CED622AB-30E3-40E1-B7B6-6A920747C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238125</xdr:colOff>
      <xdr:row>18</xdr:row>
      <xdr:rowOff>152400</xdr:rowOff>
    </xdr:from>
    <xdr:to>
      <xdr:col>4</xdr:col>
      <xdr:colOff>1789206</xdr:colOff>
      <xdr:row>32</xdr:row>
      <xdr:rowOff>66675</xdr:rowOff>
    </xdr:to>
    <xdr:graphicFrame macro="">
      <xdr:nvGraphicFramePr>
        <xdr:cNvPr id="2" name="Diagramm 1">
          <a:extLst>
            <a:ext uri="{FF2B5EF4-FFF2-40B4-BE49-F238E27FC236}">
              <a16:creationId xmlns:a16="http://schemas.microsoft.com/office/drawing/2014/main" id="{D15B231C-968A-4B56-94C0-3FD317AB7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2245845</xdr:colOff>
      <xdr:row>32</xdr:row>
      <xdr:rowOff>173879</xdr:rowOff>
    </xdr:from>
    <xdr:to>
      <xdr:col>3</xdr:col>
      <xdr:colOff>22035</xdr:colOff>
      <xdr:row>34</xdr:row>
      <xdr:rowOff>174065</xdr:rowOff>
    </xdr:to>
    <xdr:pic>
      <xdr:nvPicPr>
        <xdr:cNvPr id="3" name="Grafik 2">
          <a:extLst>
            <a:ext uri="{FF2B5EF4-FFF2-40B4-BE49-F238E27FC236}">
              <a16:creationId xmlns:a16="http://schemas.microsoft.com/office/drawing/2014/main" id="{7562202B-B2A3-4448-9C28-9FE5CDD949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12545" y="6269879"/>
          <a:ext cx="1957665" cy="36213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142875</xdr:colOff>
      <xdr:row>0</xdr:row>
      <xdr:rowOff>158750</xdr:rowOff>
    </xdr:from>
    <xdr:to>
      <xdr:col>16</xdr:col>
      <xdr:colOff>634875</xdr:colOff>
      <xdr:row>23</xdr:row>
      <xdr:rowOff>34475</xdr:rowOff>
    </xdr:to>
    <xdr:graphicFrame macro="">
      <xdr:nvGraphicFramePr>
        <xdr:cNvPr id="2" name="Diagramm 1">
          <a:extLst>
            <a:ext uri="{FF2B5EF4-FFF2-40B4-BE49-F238E27FC236}">
              <a16:creationId xmlns:a16="http://schemas.microsoft.com/office/drawing/2014/main" id="{1785D959-6D7E-4D34-8C47-BD1B70BCF96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142875</xdr:colOff>
      <xdr:row>24</xdr:row>
      <xdr:rowOff>82550</xdr:rowOff>
    </xdr:from>
    <xdr:to>
      <xdr:col>16</xdr:col>
      <xdr:colOff>634875</xdr:colOff>
      <xdr:row>46</xdr:row>
      <xdr:rowOff>120200</xdr:rowOff>
    </xdr:to>
    <xdr:graphicFrame macro="">
      <xdr:nvGraphicFramePr>
        <xdr:cNvPr id="3" name="Diagramm 2">
          <a:extLst>
            <a:ext uri="{FF2B5EF4-FFF2-40B4-BE49-F238E27FC236}">
              <a16:creationId xmlns:a16="http://schemas.microsoft.com/office/drawing/2014/main" id="{649F284F-F8BE-419B-AF55-902CB32DCCD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142875</xdr:colOff>
      <xdr:row>48</xdr:row>
      <xdr:rowOff>6350</xdr:rowOff>
    </xdr:from>
    <xdr:to>
      <xdr:col>16</xdr:col>
      <xdr:colOff>634875</xdr:colOff>
      <xdr:row>70</xdr:row>
      <xdr:rowOff>44000</xdr:rowOff>
    </xdr:to>
    <xdr:graphicFrame macro="">
      <xdr:nvGraphicFramePr>
        <xdr:cNvPr id="4" name="Diagramm 3">
          <a:extLst>
            <a:ext uri="{FF2B5EF4-FFF2-40B4-BE49-F238E27FC236}">
              <a16:creationId xmlns:a16="http://schemas.microsoft.com/office/drawing/2014/main" id="{A46296D5-F780-464F-957B-69E862D25A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142875</xdr:colOff>
      <xdr:row>71</xdr:row>
      <xdr:rowOff>92075</xdr:rowOff>
    </xdr:from>
    <xdr:to>
      <xdr:col>16</xdr:col>
      <xdr:colOff>634875</xdr:colOff>
      <xdr:row>93</xdr:row>
      <xdr:rowOff>129725</xdr:rowOff>
    </xdr:to>
    <xdr:graphicFrame macro="">
      <xdr:nvGraphicFramePr>
        <xdr:cNvPr id="5" name="Diagramm 4">
          <a:extLst>
            <a:ext uri="{FF2B5EF4-FFF2-40B4-BE49-F238E27FC236}">
              <a16:creationId xmlns:a16="http://schemas.microsoft.com/office/drawing/2014/main" id="{D7FD6491-7D0D-4204-9FE0-0C769BAECCD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142875</xdr:colOff>
      <xdr:row>95</xdr:row>
      <xdr:rowOff>15875</xdr:rowOff>
    </xdr:from>
    <xdr:to>
      <xdr:col>16</xdr:col>
      <xdr:colOff>634875</xdr:colOff>
      <xdr:row>117</xdr:row>
      <xdr:rowOff>91625</xdr:rowOff>
    </xdr:to>
    <xdr:graphicFrame macro="">
      <xdr:nvGraphicFramePr>
        <xdr:cNvPr id="6" name="Diagramm 5">
          <a:extLst>
            <a:ext uri="{FF2B5EF4-FFF2-40B4-BE49-F238E27FC236}">
              <a16:creationId xmlns:a16="http://schemas.microsoft.com/office/drawing/2014/main" id="{EDF8BF3E-51FD-4921-82CA-410CD30AD40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1666875</xdr:colOff>
      <xdr:row>39</xdr:row>
      <xdr:rowOff>85725</xdr:rowOff>
    </xdr:from>
    <xdr:to>
      <xdr:col>2</xdr:col>
      <xdr:colOff>152815</xdr:colOff>
      <xdr:row>42</xdr:row>
      <xdr:rowOff>95034</xdr:rowOff>
    </xdr:to>
    <xdr:pic>
      <xdr:nvPicPr>
        <xdr:cNvPr id="2" name="Grafik 1">
          <a:extLst>
            <a:ext uri="{FF2B5EF4-FFF2-40B4-BE49-F238E27FC236}">
              <a16:creationId xmlns:a16="http://schemas.microsoft.com/office/drawing/2014/main" id="{83C61D30-7247-4CF7-BD3A-EA5536A5FB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0275" y="7696200"/>
          <a:ext cx="2305465" cy="49508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3219451</xdr:colOff>
      <xdr:row>46</xdr:row>
      <xdr:rowOff>152400</xdr:rowOff>
    </xdr:from>
    <xdr:to>
      <xdr:col>2</xdr:col>
      <xdr:colOff>590551</xdr:colOff>
      <xdr:row>49</xdr:row>
      <xdr:rowOff>116620</xdr:rowOff>
    </xdr:to>
    <xdr:pic>
      <xdr:nvPicPr>
        <xdr:cNvPr id="2" name="Grafik 1">
          <a:extLst>
            <a:ext uri="{FF2B5EF4-FFF2-40B4-BE49-F238E27FC236}">
              <a16:creationId xmlns:a16="http://schemas.microsoft.com/office/drawing/2014/main" id="{74AAD34A-BDBC-433D-AA9C-BD8229752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09976" y="8943975"/>
          <a:ext cx="2095500" cy="4499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06BBF14-BDCF-47A5-92E1-CFD2EF7AAE88}" name="Tabelle10" displayName="Tabelle10" ref="G4:O55" totalsRowCount="1" headerRowDxfId="109" dataDxfId="107" totalsRowDxfId="105" headerRowBorderDxfId="108" tableBorderDxfId="106" totalsRowBorderDxfId="104" headerRowCellStyle="Komma" dataCellStyle="Komma">
  <autoFilter ref="G4:O54" xr:uid="{906BBF14-BDCF-47A5-92E1-CFD2EF7AAE88}"/>
  <tableColumns count="9">
    <tableColumn id="1" xr3:uid="{C8411B99-0E61-42FF-ABB1-02F9A29CB742}" name="Jahr" dataDxfId="103" totalsRowDxfId="102" dataCellStyle="Komma">
      <calculatedColumnFormula>IF(G4&gt;=$C$6,NA(),G4+1)</calculatedColumnFormula>
    </tableColumn>
    <tableColumn id="2" xr3:uid="{95E57FEE-B0E9-4F64-99E8-79D6D1EFA528}" name="Guthaben am Anfang" dataDxfId="101" totalsRowDxfId="100" dataCellStyle="Komma">
      <calculatedColumnFormula>IF(G5="","",M4)</calculatedColumnFormula>
    </tableColumn>
    <tableColumn id="9" xr3:uid="{0523259E-1024-4262-BED7-E75C289431FA}" name="Monatsrate" dataDxfId="99" totalsRowDxfId="98" dataCellStyle="Komma">
      <calculatedColumnFormula>IF(Q5&gt;0,Q5,"0")</calculatedColumnFormula>
    </tableColumn>
    <tableColumn id="3" xr3:uid="{59CBA7C7-8AE2-4D0E-986A-A32594B5ABC6}" name="Einzahlungen" totalsRowFunction="custom" dataDxfId="97" totalsRowDxfId="96" dataCellStyle="Komma">
      <calculatedColumnFormula>I5*C$12</calculatedColumnFormula>
      <totalsRowFormula>SUMIF(J5:J54,"&gt;0")+H5</totalsRowFormula>
    </tableColumn>
    <tableColumn id="4" xr3:uid="{000E136A-0293-49CC-9170-B7990FF7181B}" name="Guthaben" dataDxfId="95" totalsRowDxfId="94" dataCellStyle="Komma">
      <calculatedColumnFormula>K4+J5</calculatedColumnFormula>
    </tableColumn>
    <tableColumn id="5" xr3:uid="{4534DC2C-42BA-488F-B552-BC4E4198B22B}" name="Zinsen" totalsRowFunction="custom" dataDxfId="93" totalsRowDxfId="92" dataCellStyle="Komma">
      <calculatedColumnFormula>IF(G5="","",K5*C$5)</calculatedColumnFormula>
      <totalsRowFormula>SUMIF(L5:L54,"&gt;0")</totalsRowFormula>
    </tableColumn>
    <tableColumn id="6" xr3:uid="{6E6EF066-DB1C-4521-8887-B066057CE986}" name="Guthaben inkl. Zinsen" dataDxfId="91" totalsRowDxfId="90" dataCellStyle="Komma">
      <calculatedColumnFormula>IF(G5="","",K5+L5)</calculatedColumnFormula>
    </tableColumn>
    <tableColumn id="7" xr3:uid="{6A1D9B09-0415-4161-AFE4-41683C7AEE0D}" name="Steuern" totalsRowFunction="custom" dataDxfId="89" totalsRowDxfId="88" dataCellStyle="Komma">
      <calculatedColumnFormula>IF(L5&lt;$C$8,0,((L5-$C$8)*$C$9))</calculatedColumnFormula>
      <totalsRowFormula>SUMIF(N5:N54,"&gt;0")</totalsRowFormula>
    </tableColumn>
    <tableColumn id="8" xr3:uid="{5681B3EA-93CD-4E9E-B0E1-6EAC007BE610}" name="Guthaben nach Steuern" dataDxfId="87" totalsRowDxfId="86" dataCellStyle="Komma">
      <calculatedColumnFormula>IF(G5="","",M5-N5)</calculatedColumnFormula>
    </tableColumn>
  </tableColumns>
  <tableStyleInfo name="TableStyleDark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A01AA63-4113-4638-829C-6A7C7768E685}" name="Tabelle12" displayName="Tabelle12" ref="B5:AU56" totalsRowShown="0" headerRowDxfId="85" dataDxfId="83" headerRowBorderDxfId="84" tableBorderDxfId="82">
  <autoFilter ref="B5:AU56" xr:uid="{33F22E08-3A72-4BDA-AD76-55DDE1503B19}"/>
  <tableColumns count="46">
    <tableColumn id="1" xr3:uid="{811B7CB9-ED57-44B1-AB97-0C4FC270D271}" name="Spalte1" dataDxfId="81">
      <calculatedColumnFormula>IF(B5=0,0,IF(B5+1&gt;'Eingabe Immodaten'!$H$28,0,B5+1))</calculatedColumnFormula>
    </tableColumn>
    <tableColumn id="2" xr3:uid="{EFF5F1E2-1FE9-4081-938C-243F800550A0}" name="Spalte2" dataDxfId="80">
      <calculatedColumnFormula>D6/12</calculatedColumnFormula>
    </tableColumn>
    <tableColumn id="3" xr3:uid="{4CBDB0D1-B9C3-4442-AD9E-21A3784EE715}" name="Spalte3" dataDxfId="79">
      <calculatedColumnFormula>IF(B6=0,0,D5*(1+'Eingabe Immodaten'!$C$15/100))</calculatedColumnFormula>
    </tableColumn>
    <tableColumn id="47" xr3:uid="{237B2454-D83E-482B-84D6-96B1BE6B7187}" name="Spalte310" dataDxfId="78">
      <calculatedColumnFormula>IF(B6=0,0,E5+D6)</calculatedColumnFormula>
    </tableColumn>
    <tableColumn id="4" xr3:uid="{D300524D-9312-47CD-B363-F77C4FA74A6E}" name="Spalte4" dataDxfId="77">
      <calculatedColumnFormula>IF(B6=0,0,F5*(1+'Eingabe Immodaten'!$C$16/100))</calculatedColumnFormula>
    </tableColumn>
    <tableColumn id="5" xr3:uid="{C731B15C-0EAC-4A1B-8285-2A48D24E2634}" name="Spalte5" dataDxfId="76">
      <calculatedColumnFormula>D6-F6</calculatedColumnFormula>
    </tableColumn>
    <tableColumn id="6" xr3:uid="{1AE6DF5D-A0E9-4A7C-8B36-21E140A8C606}" name="Spalte6" dataDxfId="75">
      <calculatedColumnFormula>IF(B6=0,0,IF(B6&lt;='Eingabe Immodaten'!$C$28,'Eingabe Immodaten'!$C$32,'Eingabe Immodaten'!$C$34))</calculatedColumnFormula>
    </tableColumn>
    <tableColumn id="7" xr3:uid="{C7EEED74-5773-4950-8407-0D5FF7C1F83A}" name="Spalte7" dataDxfId="74">
      <calculatedColumnFormula>IF(B6=0,0,IF(B6&lt;='Eingabe Immodaten'!$H$6,'Eingabe Immodaten'!$H$9,'Eingabe Immodaten'!$H$11))</calculatedColumnFormula>
    </tableColumn>
    <tableColumn id="8" xr3:uid="{3D852AB2-03B4-4D3C-BC5C-28DB82E4D71E}" name="Spalte8" dataDxfId="73">
      <calculatedColumnFormula>IF(H6&gt;U5,U5*(1+O6/100),H6)</calculatedColumnFormula>
    </tableColumn>
    <tableColumn id="9" xr3:uid="{947B27CC-C242-4467-BBAA-092D495F52EC}" name="Spalte9" dataDxfId="72">
      <calculatedColumnFormula>IF(I6&gt;V5,V5*(1+R6/100),I6)</calculatedColumnFormula>
    </tableColumn>
    <tableColumn id="10" xr3:uid="{6350E317-BD6A-4696-89F1-A53BA4F1BFA2}" name="Spalte10" dataDxfId="71">
      <calculatedColumnFormula>J6+K6</calculatedColumnFormula>
    </tableColumn>
    <tableColumn id="11" xr3:uid="{338B6644-146E-4BB4-B0BF-5408B30746D5}" name="Spalte11" dataDxfId="70"/>
    <tableColumn id="12" xr3:uid="{0951FC18-22F8-4EC5-A8A0-CDEC0F588EBF}" name="Spalte12" dataDxfId="69"/>
    <tableColumn id="13" xr3:uid="{C8628C72-A19D-4714-AC85-317EE5CC1A80}" name="Spalte13" dataDxfId="68">
      <calculatedColumnFormula>IF(B6=0,0,IF(B6&lt;='Eingabe Immodaten'!$C$28,'Eingabe Immodaten'!$C$30,'Eingabe Immodaten'!$C$33))</calculatedColumnFormula>
    </tableColumn>
    <tableColumn id="14" xr3:uid="{E004579D-D7B0-4470-84AA-80471298B66C}" name="Spalte14" dataDxfId="67">
      <calculatedColumnFormula>IF(B6=0,0,U5*O6/100)</calculatedColumnFormula>
    </tableColumn>
    <tableColumn id="15" xr3:uid="{836D82A8-5EDD-4D62-B465-B06950B6B39C}" name="Spalte15" dataDxfId="66">
      <calculatedColumnFormula>J6-P6</calculatedColumnFormula>
    </tableColumn>
    <tableColumn id="16" xr3:uid="{8A11CC52-44F0-4186-862A-9653851E084E}" name="Spalte16" dataDxfId="65">
      <calculatedColumnFormula>IF(B6=0,0,IF(B6&lt;='Eingabe Immodaten'!$H$6,'Eingabe Immodaten'!$H$7,'Eingabe Immodaten'!$H$10))</calculatedColumnFormula>
    </tableColumn>
    <tableColumn id="17" xr3:uid="{63C93B99-78E8-440F-AFFB-88664BD7950E}" name="Spalte17" dataDxfId="64">
      <calculatedColumnFormula>IF(B6=0,0,V5*R6/100)</calculatedColumnFormula>
    </tableColumn>
    <tableColumn id="18" xr3:uid="{E4BCA78A-BF84-47E7-AAEC-116ABE196667}" name="Spalte18" dataDxfId="63">
      <calculatedColumnFormula>K6-S6</calculatedColumnFormula>
    </tableColumn>
    <tableColumn id="19" xr3:uid="{1C38A640-838A-4ECD-8C65-C2A0ADF691DD}" name="Spalte19" dataDxfId="62">
      <calculatedColumnFormula>IF(B6=0,0,U5-Q6-M6+0.0000001)</calculatedColumnFormula>
    </tableColumn>
    <tableColumn id="20" xr3:uid="{2C3FFC18-72EE-4685-9D4F-DAA6B8AC012D}" name="Spalte20" dataDxfId="61">
      <calculatedColumnFormula>IF(B6=0,0,V5-T6-N6+0.0000001)</calculatedColumnFormula>
    </tableColumn>
    <tableColumn id="21" xr3:uid="{9CEA2F35-79F2-4075-948D-B8EAB1AF7C86}" name="Spalte21" dataDxfId="60">
      <calculatedColumnFormula>IF(B6=0,0,U6+V6)</calculatedColumnFormula>
    </tableColumn>
    <tableColumn id="22" xr3:uid="{3A2395E0-2542-4D07-BFDB-BD6B778B8334}" name="Spalte22" dataDxfId="59">
      <calculatedColumnFormula>IF(B6=0,0,'Eingabe Immodaten'!$H$14)</calculatedColumnFormula>
    </tableColumn>
    <tableColumn id="23" xr3:uid="{82F993DA-39D9-44D8-9CF5-91B1EC984BC5}" name="Spalte23" dataDxfId="58">
      <calculatedColumnFormula>IF(B6=0,0,IF('Eingabe Immodaten'!#REF!=1,2,IF('Eingabe Immodaten'!#REF!=2,2.5)))</calculatedColumnFormula>
    </tableColumn>
    <tableColumn id="44" xr3:uid="{63F98CB3-84D7-4A99-8A96-626AF336996A}" name="Spalte232" dataDxfId="57" dataCellStyle="Komma">
      <calculatedColumnFormula>Tabelle12[[#This Row],[Spalte23]]</calculatedColumnFormula>
    </tableColumn>
    <tableColumn id="24" xr3:uid="{E2EC4C16-860A-45E5-83D3-6A72EE47A2E5}" name="Spalte24" dataDxfId="56">
      <calculatedColumnFormula>X6*Y6/100</calculatedColumnFormula>
    </tableColumn>
    <tableColumn id="25" xr3:uid="{B1E1E152-6C39-4262-B7A5-63503D4196E5}" name="Spalte25" dataDxfId="55"/>
    <tableColumn id="26" xr3:uid="{2B13CBC9-D9A0-4F65-ADB1-EFA6B480A942}" name="Spalte26" dataDxfId="54"/>
    <tableColumn id="27" xr3:uid="{4F08BFAE-DDBC-4B60-95E2-5318242C54A2}" name="Spalte27" dataDxfId="53"/>
    <tableColumn id="28" xr3:uid="{7C8436F7-D968-4B84-AAAD-7D560F39A012}" name="Spalte28" dataDxfId="52">
      <calculatedColumnFormula>IF(B6=0,0,IF(B6&lt;='Eingabe Immodaten'!$C$28,IF('Eingabe Immodaten'!$C$29&gt;5,'Eingabe Immodaten'!$C$29/100*'Eingabe Immodaten'!$C$23/'Eingabe Immodaten'!$C$28,0),0))</calculatedColumnFormula>
    </tableColumn>
    <tableColumn id="29" xr3:uid="{DABCBD30-6665-43A7-A98F-91A2D8B87384}" name="Spalte29" dataDxfId="51">
      <calculatedColumnFormula>(G6-P6-S6-AA6-AD6)*'Eingabe Immodaten'!$H$19</calculatedColumnFormula>
    </tableColumn>
    <tableColumn id="30" xr3:uid="{FAAB8D19-9DD8-4826-88B6-6DEBED88CCBE}" name="Spalte30" dataDxfId="50">
      <calculatedColumnFormula>IF(B6=0,0,G6-AF6-L6+AH6-AI6)</calculatedColumnFormula>
    </tableColumn>
    <tableColumn id="31" xr3:uid="{C999E173-E8B1-4137-B36D-41C4AEABC3C8}" name="Spalte31" dataDxfId="49">
      <calculatedColumnFormula>IF(B6='Eingabe Immodaten'!$H$28,Ergebnistabelle!D6*'Eingabe Immodaten'!$H$22,0)</calculatedColumnFormula>
    </tableColumn>
    <tableColumn id="32" xr3:uid="{127FEB2A-D975-49E8-AE6E-D71437CA88F7}" name="Spalte32" dataDxfId="48">
      <calculatedColumnFormula>IF(B6='Eingabe Immodaten'!$H$28,U6,0)</calculatedColumnFormula>
    </tableColumn>
    <tableColumn id="33" xr3:uid="{DF189266-C73F-45D7-9942-C452D2F9E69B}" name="Spalte33" dataDxfId="47">
      <calculatedColumnFormula>G6-AF6+AH6</calculatedColumnFormula>
    </tableColumn>
    <tableColumn id="34" xr3:uid="{EC79AC58-564F-4866-AFC6-E8F5B834AC0C}" name="Spalte34" dataDxfId="46">
      <calculatedColumnFormula>IF(B6=0,0,AG6+AH6-AI6)</calculatedColumnFormula>
    </tableColumn>
    <tableColumn id="35" xr3:uid="{15B28522-4C86-4DE2-A24C-82153B955A47}" name="Spalte35" dataDxfId="45">
      <calculatedColumnFormula>AG6/12</calculatedColumnFormula>
    </tableColumn>
    <tableColumn id="36" xr3:uid="{8F6F95AF-332A-4C30-9067-9CBD03B12B11}" name="Spalte36" dataDxfId="44">
      <calculatedColumnFormula>IF(B6=0,0,AM5+AG6)</calculatedColumnFormula>
    </tableColumn>
    <tableColumn id="37" xr3:uid="{2424F1F1-9543-49A0-BC21-F46423652978}" name="Spalte37" dataDxfId="43">
      <calculatedColumnFormula>IF(B6=0,0,D6*'Eingabe Immodaten'!$H$22)</calculatedColumnFormula>
    </tableColumn>
    <tableColumn id="38" xr3:uid="{7A3BB72B-9E70-4A74-9A8F-5E03816BC51E}" name="Spalte38" dataDxfId="42">
      <calculatedColumnFormula>IF(D6=0,0,AN6-W6)</calculatedColumnFormula>
    </tableColumn>
    <tableColumn id="39" xr3:uid="{9D8D2689-4548-427E-8896-3FF5F24E5714}" name="Spalte39" dataDxfId="41">
      <calculatedColumnFormula>IF(B6='Eingabe Immodaten'!$H$28,Ergebnistabelle!D6*'Eingabe Immodaten'!$H$22,0)</calculatedColumnFormula>
    </tableColumn>
    <tableColumn id="40" xr3:uid="{2077D3E3-3FE8-4CB3-9142-87D478991B1B}" name="Spalte40" dataDxfId="40">
      <calculatedColumnFormula>IF(B6='Eingabe Immodaten'!$H$28,Ergebnistabelle!AM6,0)</calculatedColumnFormula>
    </tableColumn>
    <tableColumn id="41" xr3:uid="{E8BFA483-2703-4371-B379-4B901B319D96}" name="Spalte41" dataDxfId="39">
      <calculatedColumnFormula>IF(B6='Eingabe Immodaten'!$H$28,Ergebnistabelle!AO6,0)</calculatedColumnFormula>
    </tableColumn>
    <tableColumn id="42" xr3:uid="{4E853974-A08C-48A4-97A7-B4B4339AF5EA}" name="Spalte42" dataDxfId="38">
      <calculatedColumnFormula>IF(B6='Eingabe Immodaten'!$H$28,Ergebnistabelle!W6,0)</calculatedColumnFormula>
    </tableColumn>
    <tableColumn id="43" xr3:uid="{B7E81C7B-27BD-4288-983C-3135F0D4C7B9}" name="Spalte43" dataDxfId="37">
      <calculatedColumnFormula>IF(B6='Eingabe Immodaten'!$H$28,Ergebnistabelle!G6,0)</calculatedColumnFormula>
    </tableColumn>
    <tableColumn id="45" xr3:uid="{456BD558-FA67-498F-9ECB-4091D2235165}" name="Spalte432" dataDxfId="36">
      <calculatedColumnFormula>IF(B6='Eingabe Immodaten'!$H$28,Ergebnistabelle!L6,0)</calculatedColumnFormula>
    </tableColumn>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244E82-D6ED-4465-9FC0-60A65AFCEF0B}" name="Tabelle1" displayName="Tabelle1" ref="A2:C31" totalsRowShown="0" headerRowDxfId="35" dataDxfId="33" headerRowBorderDxfId="34" tableBorderDxfId="32" totalsRowBorderDxfId="31">
  <autoFilter ref="A2:C31" xr:uid="{BDD5D3BF-8B64-45E3-A1C2-5EE551E81433}"/>
  <tableColumns count="3">
    <tableColumn id="1" xr3:uid="{4DAB9576-07AE-4F33-B1E1-E5C2F339E126}" name="Zu versteuerndes Einkommen" dataDxfId="30" dataCellStyle="Währung"/>
    <tableColumn id="2" xr3:uid="{968210B3-5B18-4B38-828A-9F8094B0EEDE}" name="Grenzsteuersatz ledig" dataDxfId="29" dataCellStyle="Prozent"/>
    <tableColumn id="3" xr3:uid="{C0493E11-1679-42D4-A2BD-BCA9F93D95FF}" name="Grenzsteuersatz verheiratet" dataDxfId="28" dataCellStyle="Prozent"/>
  </tableColumns>
  <tableStyleInfo name="TableStyleLight10"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8DBA-5DBB-46EF-8926-4F79F6D2D7D1}">
  <sheetPr codeName="Tabelle1">
    <pageSetUpPr fitToPage="1"/>
  </sheetPr>
  <dimension ref="A1:Y253"/>
  <sheetViews>
    <sheetView showGridLines="0" showRowColHeaders="0" tabSelected="1" zoomScaleNormal="100" workbookViewId="0"/>
  </sheetViews>
  <sheetFormatPr baseColWidth="10" defaultColWidth="10.7265625" defaultRowHeight="12.5"/>
  <cols>
    <col min="1" max="1" width="4.7265625" customWidth="1"/>
  </cols>
  <sheetData>
    <row r="1" spans="1:25">
      <c r="A1" s="99"/>
      <c r="B1" s="99"/>
      <c r="C1" s="99"/>
      <c r="D1" s="99"/>
      <c r="E1" s="99"/>
      <c r="F1" s="99"/>
      <c r="G1" s="99"/>
      <c r="H1" s="99"/>
      <c r="I1" s="99"/>
      <c r="J1" s="99"/>
      <c r="K1" s="99"/>
      <c r="L1" s="99"/>
      <c r="M1" s="99"/>
      <c r="N1" s="99"/>
      <c r="O1" s="99"/>
      <c r="P1" s="99"/>
      <c r="Q1" s="99"/>
      <c r="R1" s="99"/>
      <c r="S1" s="99"/>
      <c r="T1" s="99"/>
      <c r="U1" s="99"/>
      <c r="V1" s="99"/>
      <c r="W1" s="99"/>
      <c r="X1" s="99"/>
      <c r="Y1" s="99"/>
    </row>
    <row r="2" spans="1:25" ht="18">
      <c r="A2" s="99"/>
      <c r="B2" s="551" t="s">
        <v>385</v>
      </c>
      <c r="C2" s="551"/>
      <c r="D2" s="551"/>
      <c r="E2" s="551"/>
      <c r="F2" s="99"/>
      <c r="G2" s="99"/>
      <c r="H2" s="99"/>
      <c r="I2" s="99"/>
      <c r="J2" s="99"/>
      <c r="K2" s="99"/>
      <c r="L2" s="99"/>
      <c r="M2" s="114" t="s">
        <v>379</v>
      </c>
      <c r="N2" s="99"/>
      <c r="O2" s="99"/>
      <c r="P2" s="99"/>
      <c r="Q2" s="99"/>
      <c r="R2" s="99"/>
      <c r="S2" s="99"/>
      <c r="T2" s="99"/>
      <c r="U2" s="99"/>
      <c r="V2" s="99"/>
      <c r="W2" s="99"/>
      <c r="X2" s="99"/>
      <c r="Y2" s="99"/>
    </row>
    <row r="3" spans="1:25" ht="13" thickBot="1">
      <c r="A3" s="99"/>
      <c r="B3" s="99"/>
      <c r="C3" s="99"/>
      <c r="D3" s="99"/>
      <c r="E3" s="99"/>
      <c r="F3" s="99"/>
      <c r="G3" s="99"/>
      <c r="H3" s="99"/>
      <c r="I3" s="99"/>
      <c r="J3" s="99"/>
      <c r="K3" s="99"/>
      <c r="L3" s="99"/>
      <c r="M3" s="99"/>
      <c r="N3" s="99"/>
      <c r="O3" s="99"/>
      <c r="P3" s="99"/>
      <c r="Q3" s="99"/>
      <c r="R3" s="99"/>
      <c r="S3" s="99"/>
      <c r="T3" s="99"/>
      <c r="U3" s="99"/>
      <c r="V3" s="99"/>
      <c r="W3" s="99"/>
      <c r="X3" s="99"/>
      <c r="Y3" s="99"/>
    </row>
    <row r="4" spans="1:25">
      <c r="A4" s="99"/>
      <c r="B4" s="552" t="s">
        <v>380</v>
      </c>
      <c r="C4" s="553"/>
      <c r="D4" s="553"/>
      <c r="E4" s="553"/>
      <c r="F4" s="553"/>
      <c r="G4" s="553"/>
      <c r="H4" s="553"/>
      <c r="I4" s="553"/>
      <c r="J4" s="553"/>
      <c r="K4" s="553"/>
      <c r="L4" s="553"/>
      <c r="M4" s="554"/>
      <c r="N4" s="99"/>
      <c r="O4" s="99"/>
      <c r="P4" s="99"/>
      <c r="Q4" s="99"/>
      <c r="R4" s="99"/>
      <c r="S4" s="99"/>
      <c r="T4" s="99"/>
      <c r="U4" s="99"/>
      <c r="V4" s="99"/>
      <c r="W4" s="99"/>
      <c r="X4" s="99"/>
      <c r="Y4" s="99"/>
    </row>
    <row r="5" spans="1:25">
      <c r="A5" s="99"/>
      <c r="B5" s="555"/>
      <c r="C5" s="556"/>
      <c r="D5" s="556"/>
      <c r="E5" s="556"/>
      <c r="F5" s="556"/>
      <c r="G5" s="556"/>
      <c r="H5" s="556"/>
      <c r="I5" s="556"/>
      <c r="J5" s="556"/>
      <c r="K5" s="556"/>
      <c r="L5" s="556"/>
      <c r="M5" s="557"/>
      <c r="N5" s="99"/>
      <c r="O5" s="99"/>
      <c r="P5" s="99"/>
      <c r="Q5" s="99"/>
      <c r="R5" s="99"/>
      <c r="S5" s="99"/>
      <c r="T5" s="99"/>
      <c r="U5" s="99"/>
      <c r="V5" s="99"/>
      <c r="W5" s="99"/>
      <c r="X5" s="99"/>
      <c r="Y5" s="99"/>
    </row>
    <row r="6" spans="1:25">
      <c r="A6" s="99"/>
      <c r="B6" s="555"/>
      <c r="C6" s="556"/>
      <c r="D6" s="556"/>
      <c r="E6" s="556"/>
      <c r="F6" s="556"/>
      <c r="G6" s="556"/>
      <c r="H6" s="556"/>
      <c r="I6" s="556"/>
      <c r="J6" s="556"/>
      <c r="K6" s="556"/>
      <c r="L6" s="556"/>
      <c r="M6" s="557"/>
      <c r="N6" s="99"/>
      <c r="O6" s="99"/>
      <c r="P6" s="99"/>
      <c r="Q6" s="99"/>
      <c r="R6" s="99"/>
      <c r="S6" s="99"/>
      <c r="T6" s="99"/>
      <c r="U6" s="99"/>
      <c r="V6" s="99"/>
      <c r="W6" s="99"/>
      <c r="X6" s="99"/>
      <c r="Y6" s="99"/>
    </row>
    <row r="7" spans="1:25">
      <c r="A7" s="99"/>
      <c r="B7" s="555"/>
      <c r="C7" s="556"/>
      <c r="D7" s="556"/>
      <c r="E7" s="556"/>
      <c r="F7" s="556"/>
      <c r="G7" s="556"/>
      <c r="H7" s="556"/>
      <c r="I7" s="556"/>
      <c r="J7" s="556"/>
      <c r="K7" s="556"/>
      <c r="L7" s="556"/>
      <c r="M7" s="557"/>
      <c r="N7" s="99"/>
      <c r="O7" s="99"/>
      <c r="P7" s="99"/>
      <c r="Q7" s="99"/>
      <c r="R7" s="99"/>
      <c r="S7" s="99"/>
      <c r="T7" s="99"/>
      <c r="U7" s="99"/>
      <c r="V7" s="99"/>
      <c r="W7" s="99"/>
      <c r="X7" s="99"/>
      <c r="Y7" s="99"/>
    </row>
    <row r="8" spans="1:25">
      <c r="A8" s="99"/>
      <c r="B8" s="555"/>
      <c r="C8" s="556"/>
      <c r="D8" s="556"/>
      <c r="E8" s="556"/>
      <c r="F8" s="556"/>
      <c r="G8" s="556"/>
      <c r="H8" s="556"/>
      <c r="I8" s="556"/>
      <c r="J8" s="556"/>
      <c r="K8" s="556"/>
      <c r="L8" s="556"/>
      <c r="M8" s="557"/>
      <c r="N8" s="99"/>
      <c r="O8" s="99"/>
      <c r="P8" s="99"/>
      <c r="Q8" s="99"/>
      <c r="R8" s="99"/>
      <c r="S8" s="99"/>
      <c r="T8" s="99"/>
      <c r="U8" s="99"/>
      <c r="V8" s="99"/>
      <c r="W8" s="99"/>
      <c r="X8" s="99"/>
      <c r="Y8" s="99"/>
    </row>
    <row r="9" spans="1:25">
      <c r="A9" s="99"/>
      <c r="B9" s="555"/>
      <c r="C9" s="556"/>
      <c r="D9" s="556"/>
      <c r="E9" s="556"/>
      <c r="F9" s="556"/>
      <c r="G9" s="556"/>
      <c r="H9" s="556"/>
      <c r="I9" s="556"/>
      <c r="J9" s="556"/>
      <c r="K9" s="556"/>
      <c r="L9" s="556"/>
      <c r="M9" s="557"/>
      <c r="N9" s="99"/>
      <c r="O9" s="99"/>
      <c r="P9" s="99"/>
      <c r="Q9" s="99"/>
      <c r="R9" s="99"/>
      <c r="S9" s="99"/>
      <c r="T9" s="99"/>
      <c r="U9" s="99"/>
      <c r="V9" s="99"/>
      <c r="W9" s="99"/>
      <c r="X9" s="99"/>
      <c r="Y9" s="99"/>
    </row>
    <row r="10" spans="1:25">
      <c r="A10" s="99"/>
      <c r="B10" s="555"/>
      <c r="C10" s="556"/>
      <c r="D10" s="556"/>
      <c r="E10" s="556"/>
      <c r="F10" s="556"/>
      <c r="G10" s="556"/>
      <c r="H10" s="556"/>
      <c r="I10" s="556"/>
      <c r="J10" s="556"/>
      <c r="K10" s="556"/>
      <c r="L10" s="556"/>
      <c r="M10" s="557"/>
      <c r="N10" s="99"/>
      <c r="O10" s="99"/>
      <c r="P10" s="99"/>
      <c r="Q10" s="99"/>
      <c r="R10" s="99"/>
      <c r="S10" s="99"/>
      <c r="T10" s="99"/>
      <c r="U10" s="99"/>
      <c r="V10" s="99"/>
      <c r="W10" s="99"/>
      <c r="X10" s="99"/>
      <c r="Y10" s="99"/>
    </row>
    <row r="11" spans="1:25">
      <c r="A11" s="99"/>
      <c r="B11" s="555"/>
      <c r="C11" s="556"/>
      <c r="D11" s="556"/>
      <c r="E11" s="556"/>
      <c r="F11" s="556"/>
      <c r="G11" s="556"/>
      <c r="H11" s="556"/>
      <c r="I11" s="556"/>
      <c r="J11" s="556"/>
      <c r="K11" s="556"/>
      <c r="L11" s="556"/>
      <c r="M11" s="557"/>
      <c r="N11" s="99"/>
      <c r="O11" s="99"/>
      <c r="P11" s="99"/>
      <c r="Q11" s="99"/>
      <c r="R11" s="99"/>
      <c r="S11" s="99"/>
      <c r="T11" s="99"/>
      <c r="U11" s="99"/>
      <c r="V11" s="99"/>
      <c r="W11" s="99"/>
      <c r="X11" s="99"/>
      <c r="Y11" s="99"/>
    </row>
    <row r="12" spans="1:25">
      <c r="A12" s="99"/>
      <c r="B12" s="555"/>
      <c r="C12" s="556"/>
      <c r="D12" s="556"/>
      <c r="E12" s="556"/>
      <c r="F12" s="556"/>
      <c r="G12" s="556"/>
      <c r="H12" s="556"/>
      <c r="I12" s="556"/>
      <c r="J12" s="556"/>
      <c r="K12" s="556"/>
      <c r="L12" s="556"/>
      <c r="M12" s="557"/>
      <c r="N12" s="99"/>
      <c r="O12" s="99"/>
      <c r="P12" s="99"/>
      <c r="Q12" s="99"/>
      <c r="R12" s="99"/>
      <c r="S12" s="99"/>
      <c r="T12" s="99"/>
      <c r="U12" s="99"/>
      <c r="V12" s="99"/>
      <c r="W12" s="99"/>
      <c r="X12" s="99"/>
      <c r="Y12" s="99"/>
    </row>
    <row r="13" spans="1:25">
      <c r="A13" s="99"/>
      <c r="B13" s="558"/>
      <c r="C13" s="559"/>
      <c r="D13" s="559"/>
      <c r="E13" s="559"/>
      <c r="F13" s="559"/>
      <c r="G13" s="559"/>
      <c r="H13" s="559"/>
      <c r="I13" s="559"/>
      <c r="J13" s="559"/>
      <c r="K13" s="559"/>
      <c r="L13" s="559"/>
      <c r="M13" s="560"/>
      <c r="N13" s="99"/>
      <c r="O13" s="99"/>
      <c r="P13" s="99"/>
      <c r="Q13" s="99"/>
      <c r="R13" s="99"/>
      <c r="S13" s="99"/>
      <c r="T13" s="99"/>
      <c r="U13" s="99"/>
      <c r="V13" s="99"/>
      <c r="W13" s="99"/>
      <c r="X13" s="99"/>
      <c r="Y13" s="99"/>
    </row>
    <row r="14" spans="1:25" ht="13" thickBot="1">
      <c r="A14" s="99"/>
      <c r="B14" s="561"/>
      <c r="C14" s="562"/>
      <c r="D14" s="562"/>
      <c r="E14" s="562"/>
      <c r="F14" s="562"/>
      <c r="G14" s="562"/>
      <c r="H14" s="562"/>
      <c r="I14" s="562"/>
      <c r="J14" s="562"/>
      <c r="K14" s="562"/>
      <c r="L14" s="562"/>
      <c r="M14" s="563"/>
      <c r="N14" s="99"/>
      <c r="O14" s="99"/>
      <c r="P14" s="99"/>
      <c r="Q14" s="99"/>
      <c r="R14" s="99"/>
      <c r="S14" s="99"/>
      <c r="T14" s="99"/>
      <c r="U14" s="99"/>
      <c r="V14" s="99"/>
      <c r="W14" s="99"/>
      <c r="X14" s="99"/>
      <c r="Y14" s="99"/>
    </row>
    <row r="15" spans="1:25">
      <c r="A15" s="99"/>
      <c r="B15" s="99"/>
      <c r="C15" s="99"/>
      <c r="D15" s="99"/>
      <c r="E15" s="99"/>
      <c r="F15" s="99"/>
      <c r="G15" s="99"/>
      <c r="H15" s="99"/>
      <c r="I15" s="99"/>
      <c r="J15" s="99"/>
      <c r="K15" s="99"/>
      <c r="L15" s="99"/>
      <c r="M15" s="99"/>
      <c r="N15" s="99"/>
      <c r="O15" s="99"/>
      <c r="P15" s="99"/>
      <c r="Q15" s="99"/>
      <c r="R15" s="99"/>
      <c r="S15" s="99"/>
      <c r="T15" s="99"/>
      <c r="U15" s="99"/>
      <c r="V15" s="99"/>
      <c r="W15" s="99"/>
      <c r="X15" s="99"/>
      <c r="Y15" s="99"/>
    </row>
    <row r="16" spans="1:25">
      <c r="A16" s="99"/>
      <c r="B16" s="99"/>
      <c r="C16" s="99"/>
      <c r="D16" s="99"/>
      <c r="E16" s="99"/>
      <c r="F16" s="99"/>
      <c r="G16" s="99"/>
      <c r="H16" s="99"/>
      <c r="I16" s="99"/>
      <c r="J16" s="99"/>
      <c r="K16" s="99"/>
      <c r="L16" s="99"/>
      <c r="M16" s="99"/>
      <c r="N16" s="99"/>
      <c r="O16" s="99"/>
      <c r="P16" s="99"/>
      <c r="Q16" s="99"/>
      <c r="R16" s="99"/>
      <c r="S16" s="99"/>
      <c r="T16" s="99"/>
      <c r="U16" s="99"/>
      <c r="V16" s="99"/>
      <c r="W16" s="99"/>
      <c r="X16" s="99"/>
      <c r="Y16" s="99"/>
    </row>
    <row r="17" spans="1:25">
      <c r="A17" s="99"/>
      <c r="B17" s="99"/>
      <c r="C17" s="99"/>
      <c r="D17" s="99"/>
      <c r="E17" s="99"/>
      <c r="F17" s="99"/>
      <c r="G17" s="99"/>
      <c r="H17" s="99"/>
      <c r="I17" s="99"/>
      <c r="J17" s="99"/>
      <c r="K17" s="99"/>
      <c r="L17" s="99"/>
      <c r="M17" s="99"/>
      <c r="N17" s="99"/>
      <c r="O17" s="99"/>
      <c r="P17" s="99"/>
      <c r="Q17" s="99"/>
      <c r="R17" s="99"/>
      <c r="S17" s="99"/>
      <c r="T17" s="99"/>
      <c r="U17" s="99"/>
      <c r="V17" s="99"/>
      <c r="W17" s="99"/>
      <c r="X17" s="99"/>
      <c r="Y17" s="99"/>
    </row>
    <row r="18" spans="1:25">
      <c r="A18" s="99"/>
      <c r="B18" s="99"/>
      <c r="C18" s="99"/>
      <c r="D18" s="99"/>
      <c r="E18" s="99"/>
      <c r="F18" s="99"/>
      <c r="G18" s="99"/>
      <c r="H18" s="99"/>
      <c r="I18" s="99"/>
      <c r="J18" s="99"/>
      <c r="K18" s="99"/>
      <c r="L18" s="99"/>
      <c r="M18" s="99"/>
      <c r="N18" s="99"/>
      <c r="O18" s="99"/>
      <c r="P18" s="99"/>
      <c r="Q18" s="99"/>
      <c r="R18" s="99"/>
      <c r="S18" s="99"/>
      <c r="T18" s="99"/>
      <c r="U18" s="99"/>
      <c r="V18" s="99"/>
      <c r="W18" s="99"/>
      <c r="X18" s="99"/>
      <c r="Y18" s="99"/>
    </row>
    <row r="19" spans="1:25">
      <c r="A19" s="99"/>
      <c r="B19" s="99"/>
      <c r="C19" s="99"/>
      <c r="D19" s="99"/>
      <c r="E19" s="99"/>
      <c r="F19" s="99"/>
      <c r="G19" s="99"/>
      <c r="H19" s="99"/>
      <c r="I19" s="99"/>
      <c r="J19" s="99"/>
      <c r="K19" s="99"/>
      <c r="L19" s="99"/>
      <c r="M19" s="99"/>
      <c r="N19" s="99"/>
      <c r="O19" s="99"/>
      <c r="P19" s="99"/>
      <c r="Q19" s="99"/>
      <c r="R19" s="99"/>
      <c r="S19" s="99"/>
      <c r="T19" s="99"/>
      <c r="U19" s="99"/>
      <c r="V19" s="99"/>
      <c r="W19" s="99"/>
      <c r="X19" s="99"/>
      <c r="Y19" s="99"/>
    </row>
    <row r="20" spans="1:25">
      <c r="A20" s="99"/>
      <c r="B20" s="99"/>
      <c r="C20" s="99"/>
      <c r="D20" s="99"/>
      <c r="E20" s="99"/>
      <c r="F20" s="99"/>
      <c r="G20" s="99"/>
      <c r="H20" s="99"/>
      <c r="I20" s="99"/>
      <c r="J20" s="99"/>
      <c r="K20" s="99"/>
      <c r="L20" s="99"/>
      <c r="M20" s="99"/>
      <c r="N20" s="99"/>
      <c r="O20" s="99"/>
      <c r="P20" s="99"/>
      <c r="Q20" s="99"/>
      <c r="R20" s="99"/>
      <c r="S20" s="99"/>
      <c r="T20" s="99"/>
      <c r="U20" s="99"/>
      <c r="V20" s="99"/>
      <c r="W20" s="99"/>
      <c r="X20" s="99"/>
      <c r="Y20" s="99"/>
    </row>
    <row r="21" spans="1:25">
      <c r="A21" s="99"/>
      <c r="B21" s="99"/>
      <c r="C21" s="99"/>
      <c r="D21" s="99"/>
      <c r="E21" s="99"/>
      <c r="F21" s="99"/>
      <c r="G21" s="99"/>
      <c r="H21" s="99"/>
      <c r="I21" s="99"/>
      <c r="J21" s="99"/>
      <c r="K21" s="99"/>
      <c r="L21" s="99"/>
      <c r="M21" s="99"/>
      <c r="N21" s="99"/>
      <c r="O21" s="99"/>
      <c r="P21" s="99"/>
      <c r="Q21" s="99"/>
      <c r="R21" s="99"/>
      <c r="S21" s="99"/>
      <c r="T21" s="99"/>
      <c r="U21" s="99"/>
      <c r="V21" s="99"/>
      <c r="W21" s="99"/>
      <c r="X21" s="99"/>
      <c r="Y21" s="99"/>
    </row>
    <row r="22" spans="1:25">
      <c r="A22" s="99"/>
      <c r="B22" s="99"/>
      <c r="C22" s="99"/>
      <c r="D22" s="99"/>
      <c r="E22" s="99"/>
      <c r="F22" s="99"/>
      <c r="G22" s="99"/>
      <c r="H22" s="99"/>
      <c r="I22" s="99"/>
      <c r="J22" s="99"/>
      <c r="K22" s="99"/>
      <c r="L22" s="99"/>
      <c r="M22" s="99"/>
      <c r="N22" s="99"/>
      <c r="O22" s="99"/>
      <c r="P22" s="99"/>
      <c r="Q22" s="99"/>
      <c r="R22" s="99"/>
      <c r="S22" s="99"/>
      <c r="T22" s="99"/>
      <c r="U22" s="99"/>
      <c r="V22" s="99"/>
      <c r="W22" s="99"/>
      <c r="X22" s="99"/>
      <c r="Y22" s="99"/>
    </row>
    <row r="23" spans="1:25">
      <c r="A23" s="99"/>
      <c r="B23" s="99"/>
      <c r="C23" s="99"/>
      <c r="D23" s="99"/>
      <c r="E23" s="99"/>
      <c r="F23" s="99"/>
      <c r="G23" s="99"/>
      <c r="H23" s="99"/>
      <c r="I23" s="99"/>
      <c r="J23" s="99"/>
      <c r="K23" s="99"/>
      <c r="L23" s="99"/>
      <c r="M23" s="99"/>
      <c r="N23" s="99"/>
      <c r="O23" s="99"/>
      <c r="P23" s="99"/>
      <c r="Q23" s="99"/>
      <c r="R23" s="99"/>
      <c r="S23" s="99"/>
      <c r="T23" s="99"/>
      <c r="U23" s="99"/>
      <c r="V23" s="99"/>
      <c r="W23" s="99"/>
      <c r="X23" s="99"/>
      <c r="Y23" s="99"/>
    </row>
    <row r="24" spans="1:25">
      <c r="A24" s="99"/>
      <c r="B24" s="99"/>
      <c r="C24" s="99"/>
      <c r="D24" s="99"/>
      <c r="E24" s="99"/>
      <c r="F24" s="99"/>
      <c r="G24" s="99"/>
      <c r="H24" s="99"/>
      <c r="I24" s="99"/>
      <c r="J24" s="99"/>
      <c r="K24" s="99"/>
      <c r="L24" s="99"/>
      <c r="M24" s="99"/>
      <c r="N24" s="99"/>
      <c r="O24" s="99"/>
      <c r="P24" s="99"/>
      <c r="Q24" s="99"/>
      <c r="R24" s="99"/>
      <c r="S24" s="99"/>
      <c r="T24" s="99"/>
      <c r="U24" s="99"/>
      <c r="V24" s="99"/>
      <c r="W24" s="99"/>
      <c r="X24" s="99"/>
      <c r="Y24" s="99"/>
    </row>
    <row r="25" spans="1:25">
      <c r="A25" s="99"/>
      <c r="B25" s="99"/>
      <c r="C25" s="99"/>
      <c r="D25" s="99"/>
      <c r="E25" s="99"/>
      <c r="F25" s="99"/>
      <c r="G25" s="99"/>
      <c r="H25" s="99"/>
      <c r="I25" s="99"/>
      <c r="J25" s="99"/>
      <c r="K25" s="99"/>
      <c r="L25" s="99"/>
      <c r="M25" s="99"/>
      <c r="N25" s="99"/>
      <c r="O25" s="99"/>
      <c r="P25" s="99"/>
      <c r="Q25" s="99"/>
      <c r="R25" s="99"/>
      <c r="S25" s="99"/>
      <c r="T25" s="99"/>
      <c r="U25" s="99"/>
      <c r="V25" s="99"/>
      <c r="W25" s="99"/>
      <c r="X25" s="99"/>
      <c r="Y25" s="99"/>
    </row>
    <row r="26" spans="1:25">
      <c r="A26" s="99"/>
      <c r="B26" s="99"/>
      <c r="C26" s="99"/>
      <c r="D26" s="99"/>
      <c r="E26" s="99"/>
      <c r="F26" s="99"/>
      <c r="G26" s="99"/>
      <c r="H26" s="99"/>
      <c r="I26" s="99"/>
      <c r="J26" s="99"/>
      <c r="K26" s="99"/>
      <c r="L26" s="99"/>
      <c r="M26" s="99"/>
      <c r="N26" s="99"/>
      <c r="O26" s="99"/>
      <c r="P26" s="99"/>
      <c r="Q26" s="99"/>
      <c r="R26" s="99"/>
      <c r="S26" s="99"/>
      <c r="T26" s="99"/>
      <c r="U26" s="99"/>
      <c r="V26" s="99"/>
      <c r="W26" s="99"/>
      <c r="X26" s="99"/>
      <c r="Y26" s="99"/>
    </row>
    <row r="27" spans="1:25">
      <c r="A27" s="99"/>
      <c r="B27" s="99"/>
      <c r="C27" s="99"/>
      <c r="D27" s="99"/>
      <c r="E27" s="99"/>
      <c r="F27" s="99"/>
      <c r="G27" s="99"/>
      <c r="H27" s="99"/>
      <c r="I27" s="99"/>
      <c r="J27" s="99"/>
      <c r="K27" s="99"/>
      <c r="L27" s="99"/>
      <c r="M27" s="99"/>
      <c r="N27" s="99"/>
      <c r="O27" s="99"/>
      <c r="P27" s="99"/>
      <c r="Q27" s="99"/>
      <c r="R27" s="99"/>
      <c r="S27" s="99"/>
      <c r="T27" s="99"/>
      <c r="U27" s="99"/>
      <c r="V27" s="99"/>
      <c r="W27" s="99"/>
      <c r="X27" s="99"/>
      <c r="Y27" s="99"/>
    </row>
    <row r="28" spans="1:25">
      <c r="A28" s="99"/>
      <c r="B28" s="99"/>
      <c r="C28" s="99"/>
      <c r="D28" s="99"/>
      <c r="E28" s="99"/>
      <c r="F28" s="99"/>
      <c r="G28" s="99"/>
      <c r="H28" s="99"/>
      <c r="I28" s="99"/>
      <c r="J28" s="99"/>
      <c r="K28" s="99"/>
      <c r="L28" s="99"/>
      <c r="M28" s="99"/>
      <c r="N28" s="99"/>
      <c r="O28" s="99"/>
      <c r="P28" s="99"/>
      <c r="Q28" s="99"/>
      <c r="R28" s="99"/>
      <c r="S28" s="99"/>
      <c r="T28" s="99"/>
      <c r="U28" s="99"/>
      <c r="V28" s="99"/>
      <c r="W28" s="99"/>
      <c r="X28" s="99"/>
      <c r="Y28" s="99"/>
    </row>
    <row r="29" spans="1:25">
      <c r="A29" s="99"/>
      <c r="B29" s="99"/>
      <c r="C29" s="99"/>
      <c r="D29" s="99"/>
      <c r="E29" s="99"/>
      <c r="F29" s="99"/>
      <c r="G29" s="99"/>
      <c r="H29" s="99"/>
      <c r="I29" s="99"/>
      <c r="J29" s="99"/>
      <c r="K29" s="99"/>
      <c r="L29" s="99"/>
      <c r="M29" s="99"/>
      <c r="N29" s="99"/>
      <c r="O29" s="99"/>
      <c r="P29" s="99"/>
      <c r="Q29" s="99"/>
      <c r="R29" s="99"/>
      <c r="S29" s="99"/>
      <c r="T29" s="99"/>
      <c r="U29" s="99"/>
      <c r="V29" s="99"/>
      <c r="W29" s="99"/>
      <c r="X29" s="99"/>
      <c r="Y29" s="99"/>
    </row>
    <row r="30" spans="1:25">
      <c r="A30" s="99"/>
      <c r="B30" s="99"/>
      <c r="C30" s="99"/>
      <c r="D30" s="99"/>
      <c r="E30" s="99"/>
      <c r="F30" s="99"/>
      <c r="G30" s="99"/>
      <c r="H30" s="99"/>
      <c r="I30" s="99"/>
      <c r="J30" s="99"/>
      <c r="K30" s="99"/>
      <c r="L30" s="99"/>
      <c r="M30" s="99"/>
      <c r="N30" s="99"/>
      <c r="O30" s="99"/>
      <c r="P30" s="99"/>
      <c r="Q30" s="99"/>
      <c r="R30" s="99"/>
      <c r="S30" s="99"/>
      <c r="T30" s="99"/>
      <c r="U30" s="99"/>
      <c r="V30" s="99"/>
      <c r="W30" s="99"/>
      <c r="X30" s="99"/>
      <c r="Y30" s="99"/>
    </row>
    <row r="31" spans="1:25">
      <c r="A31" s="99"/>
      <c r="B31" s="99"/>
      <c r="C31" s="99"/>
      <c r="D31" s="99"/>
      <c r="E31" s="99"/>
      <c r="F31" s="99"/>
      <c r="G31" s="99"/>
      <c r="H31" s="99"/>
      <c r="I31" s="99"/>
      <c r="J31" s="99"/>
      <c r="K31" s="99"/>
      <c r="L31" s="99"/>
      <c r="M31" s="99"/>
      <c r="N31" s="99"/>
      <c r="O31" s="99"/>
      <c r="P31" s="99"/>
      <c r="Q31" s="99"/>
      <c r="R31" s="99"/>
      <c r="S31" s="99"/>
      <c r="T31" s="99"/>
      <c r="U31" s="99"/>
      <c r="V31" s="99"/>
      <c r="W31" s="99"/>
      <c r="X31" s="99"/>
      <c r="Y31" s="99"/>
    </row>
    <row r="32" spans="1:25">
      <c r="A32" s="99"/>
      <c r="B32" s="99"/>
      <c r="C32" s="99"/>
      <c r="D32" s="99"/>
      <c r="E32" s="99"/>
      <c r="F32" s="99"/>
      <c r="G32" s="99"/>
      <c r="H32" s="99"/>
      <c r="I32" s="99"/>
      <c r="J32" s="99"/>
      <c r="K32" s="99"/>
      <c r="L32" s="99"/>
      <c r="M32" s="99"/>
      <c r="N32" s="99"/>
      <c r="O32" s="99"/>
      <c r="P32" s="99"/>
      <c r="Q32" s="99"/>
      <c r="R32" s="99"/>
      <c r="S32" s="99"/>
      <c r="T32" s="99"/>
      <c r="U32" s="99"/>
      <c r="V32" s="99"/>
      <c r="W32" s="99"/>
      <c r="X32" s="99"/>
      <c r="Y32" s="99"/>
    </row>
    <row r="33" spans="1:25">
      <c r="A33" s="99"/>
      <c r="B33" s="99"/>
      <c r="C33" s="99"/>
      <c r="D33" s="99"/>
      <c r="E33" s="99"/>
      <c r="F33" s="99"/>
      <c r="G33" s="99"/>
      <c r="H33" s="99"/>
      <c r="I33" s="99"/>
      <c r="J33" s="99"/>
      <c r="K33" s="99"/>
      <c r="L33" s="99"/>
      <c r="M33" s="99"/>
      <c r="N33" s="99"/>
      <c r="O33" s="99"/>
      <c r="P33" s="99"/>
      <c r="Q33" s="99"/>
      <c r="R33" s="99"/>
      <c r="S33" s="99"/>
      <c r="T33" s="99"/>
      <c r="U33" s="99"/>
      <c r="V33" s="99"/>
      <c r="W33" s="99"/>
      <c r="X33" s="99"/>
      <c r="Y33" s="99"/>
    </row>
    <row r="34" spans="1:25">
      <c r="A34" s="99"/>
      <c r="B34" s="99"/>
      <c r="C34" s="99"/>
      <c r="D34" s="99"/>
      <c r="E34" s="99"/>
      <c r="F34" s="99"/>
      <c r="G34" s="99"/>
      <c r="H34" s="99"/>
      <c r="I34" s="99"/>
      <c r="J34" s="99"/>
      <c r="K34" s="99"/>
      <c r="L34" s="99"/>
      <c r="M34" s="99"/>
      <c r="N34" s="99"/>
      <c r="O34" s="99"/>
      <c r="P34" s="99"/>
      <c r="Q34" s="99"/>
      <c r="R34" s="99"/>
      <c r="S34" s="99"/>
      <c r="T34" s="99"/>
      <c r="U34" s="99"/>
      <c r="V34" s="99"/>
      <c r="W34" s="99"/>
      <c r="X34" s="99"/>
      <c r="Y34" s="99"/>
    </row>
    <row r="35" spans="1:25">
      <c r="A35" s="99"/>
      <c r="B35" s="99"/>
      <c r="C35" s="99"/>
      <c r="D35" s="99"/>
      <c r="E35" s="99"/>
      <c r="F35" s="99"/>
      <c r="G35" s="99"/>
      <c r="H35" s="99"/>
      <c r="I35" s="99"/>
      <c r="J35" s="99"/>
      <c r="K35" s="99"/>
      <c r="L35" s="99"/>
      <c r="M35" s="99"/>
      <c r="N35" s="99"/>
      <c r="O35" s="99"/>
      <c r="P35" s="99"/>
      <c r="Q35" s="99"/>
      <c r="R35" s="99"/>
      <c r="S35" s="99"/>
      <c r="T35" s="99"/>
      <c r="U35" s="99"/>
      <c r="V35" s="99"/>
      <c r="W35" s="99"/>
      <c r="X35" s="99"/>
      <c r="Y35" s="99"/>
    </row>
    <row r="36" spans="1:25">
      <c r="A36" s="99"/>
      <c r="B36" s="99"/>
      <c r="C36" s="99"/>
      <c r="D36" s="99"/>
      <c r="E36" s="99"/>
      <c r="F36" s="99"/>
      <c r="G36" s="99"/>
      <c r="H36" s="99"/>
      <c r="I36" s="99"/>
      <c r="J36" s="99"/>
      <c r="K36" s="99"/>
      <c r="L36" s="99"/>
      <c r="M36" s="99"/>
      <c r="N36" s="99"/>
      <c r="O36" s="99"/>
      <c r="P36" s="99"/>
      <c r="Q36" s="99"/>
      <c r="R36" s="99"/>
      <c r="S36" s="99"/>
      <c r="T36" s="99"/>
      <c r="U36" s="99"/>
      <c r="V36" s="99"/>
      <c r="W36" s="99"/>
      <c r="X36" s="99"/>
      <c r="Y36" s="99"/>
    </row>
    <row r="37" spans="1:25">
      <c r="A37" s="99"/>
      <c r="B37" s="99"/>
      <c r="C37" s="99"/>
      <c r="D37" s="99"/>
      <c r="E37" s="99"/>
      <c r="F37" s="99"/>
      <c r="G37" s="99"/>
      <c r="H37" s="99"/>
      <c r="I37" s="99"/>
      <c r="J37" s="99"/>
      <c r="K37" s="99"/>
      <c r="L37" s="99"/>
      <c r="M37" s="99"/>
      <c r="N37" s="99"/>
      <c r="O37" s="99"/>
      <c r="P37" s="99"/>
      <c r="Q37" s="99"/>
      <c r="R37" s="99"/>
      <c r="S37" s="99"/>
      <c r="T37" s="99"/>
      <c r="U37" s="99"/>
      <c r="V37" s="99"/>
      <c r="W37" s="99"/>
      <c r="X37" s="99"/>
      <c r="Y37" s="99"/>
    </row>
    <row r="38" spans="1:25">
      <c r="A38" s="99"/>
      <c r="B38" s="99"/>
      <c r="C38" s="99"/>
      <c r="D38" s="99"/>
      <c r="E38" s="99"/>
      <c r="F38" s="99"/>
      <c r="G38" s="99"/>
      <c r="H38" s="99"/>
      <c r="I38" s="99"/>
      <c r="J38" s="99"/>
      <c r="K38" s="99"/>
      <c r="L38" s="99"/>
      <c r="M38" s="99"/>
      <c r="N38" s="99"/>
      <c r="O38" s="99"/>
      <c r="P38" s="99"/>
      <c r="Q38" s="99"/>
      <c r="R38" s="99"/>
      <c r="S38" s="99"/>
      <c r="T38" s="99"/>
      <c r="U38" s="99"/>
      <c r="V38" s="99"/>
      <c r="W38" s="99"/>
      <c r="X38" s="99"/>
      <c r="Y38" s="99"/>
    </row>
    <row r="39" spans="1:25">
      <c r="A39" s="99"/>
      <c r="B39" s="99"/>
      <c r="C39" s="99"/>
      <c r="D39" s="99"/>
      <c r="E39" s="99"/>
      <c r="F39" s="99"/>
      <c r="G39" s="99"/>
      <c r="H39" s="99"/>
      <c r="I39" s="99"/>
      <c r="J39" s="99"/>
      <c r="K39" s="99"/>
      <c r="L39" s="99"/>
      <c r="M39" s="99"/>
      <c r="N39" s="99"/>
      <c r="O39" s="99"/>
      <c r="P39" s="99"/>
      <c r="Q39" s="99"/>
      <c r="R39" s="99"/>
      <c r="S39" s="99"/>
      <c r="T39" s="99"/>
      <c r="U39" s="99"/>
      <c r="V39" s="99"/>
      <c r="W39" s="99"/>
      <c r="X39" s="99"/>
      <c r="Y39" s="99"/>
    </row>
    <row r="40" spans="1:25">
      <c r="A40" s="99"/>
      <c r="B40" s="99"/>
      <c r="C40" s="99"/>
      <c r="D40" s="99"/>
      <c r="E40" s="99"/>
      <c r="F40" s="99"/>
      <c r="G40" s="99"/>
      <c r="H40" s="99"/>
      <c r="I40" s="99"/>
      <c r="J40" s="99"/>
      <c r="K40" s="99"/>
      <c r="L40" s="99"/>
      <c r="M40" s="99"/>
      <c r="N40" s="99"/>
      <c r="O40" s="99"/>
      <c r="P40" s="99"/>
      <c r="Q40" s="99"/>
      <c r="R40" s="99"/>
      <c r="S40" s="99"/>
      <c r="T40" s="99"/>
      <c r="U40" s="99"/>
      <c r="V40" s="99"/>
      <c r="W40" s="99"/>
      <c r="X40" s="99"/>
      <c r="Y40" s="99"/>
    </row>
    <row r="41" spans="1:25">
      <c r="A41" s="99"/>
      <c r="B41" s="99"/>
      <c r="C41" s="99"/>
      <c r="D41" s="99"/>
      <c r="E41" s="99"/>
      <c r="F41" s="99"/>
      <c r="G41" s="99"/>
      <c r="H41" s="99"/>
      <c r="I41" s="99"/>
      <c r="J41" s="99"/>
      <c r="K41" s="99"/>
      <c r="L41" s="99"/>
      <c r="M41" s="99"/>
      <c r="N41" s="99"/>
      <c r="O41" s="99"/>
      <c r="P41" s="99"/>
      <c r="Q41" s="99"/>
      <c r="R41" s="99"/>
      <c r="S41" s="99"/>
      <c r="T41" s="99"/>
      <c r="U41" s="99"/>
      <c r="V41" s="99"/>
      <c r="W41" s="99"/>
      <c r="X41" s="99"/>
      <c r="Y41" s="99"/>
    </row>
    <row r="42" spans="1:25">
      <c r="A42" s="99"/>
      <c r="B42" s="99"/>
      <c r="C42" s="99"/>
      <c r="D42" s="99"/>
      <c r="E42" s="99"/>
      <c r="F42" s="99"/>
      <c r="G42" s="99"/>
      <c r="H42" s="99"/>
      <c r="I42" s="99"/>
      <c r="J42" s="99"/>
      <c r="K42" s="99"/>
      <c r="L42" s="99"/>
      <c r="M42" s="99"/>
      <c r="N42" s="99"/>
      <c r="O42" s="99"/>
      <c r="P42" s="99"/>
      <c r="Q42" s="99"/>
      <c r="R42" s="99"/>
      <c r="S42" s="99"/>
      <c r="T42" s="99"/>
      <c r="U42" s="99"/>
      <c r="V42" s="99"/>
      <c r="W42" s="99"/>
      <c r="X42" s="99"/>
      <c r="Y42" s="99"/>
    </row>
    <row r="43" spans="1:25">
      <c r="A43" s="99"/>
      <c r="B43" s="99"/>
      <c r="C43" s="99"/>
      <c r="D43" s="99"/>
      <c r="E43" s="99"/>
      <c r="F43" s="99"/>
      <c r="G43" s="99"/>
      <c r="H43" s="99"/>
      <c r="I43" s="99"/>
      <c r="J43" s="99"/>
      <c r="K43" s="99"/>
      <c r="L43" s="99"/>
      <c r="M43" s="99"/>
      <c r="N43" s="99"/>
      <c r="O43" s="99"/>
      <c r="P43" s="99"/>
      <c r="Q43" s="99"/>
      <c r="R43" s="99"/>
      <c r="S43" s="99"/>
      <c r="T43" s="99"/>
      <c r="U43" s="99"/>
      <c r="V43" s="99"/>
      <c r="W43" s="99"/>
      <c r="X43" s="99"/>
      <c r="Y43" s="99"/>
    </row>
    <row r="44" spans="1:25">
      <c r="A44" s="99"/>
      <c r="B44" s="99"/>
      <c r="C44" s="99"/>
      <c r="D44" s="99"/>
      <c r="E44" s="99"/>
      <c r="F44" s="99"/>
      <c r="G44" s="99"/>
      <c r="H44" s="99"/>
      <c r="I44" s="99"/>
      <c r="J44" s="99"/>
      <c r="K44" s="99"/>
      <c r="L44" s="99"/>
      <c r="M44" s="99"/>
      <c r="N44" s="99"/>
      <c r="O44" s="99"/>
      <c r="P44" s="99"/>
      <c r="Q44" s="99"/>
      <c r="R44" s="99"/>
      <c r="S44" s="99"/>
      <c r="T44" s="99"/>
      <c r="U44" s="99"/>
      <c r="V44" s="99"/>
      <c r="W44" s="99"/>
      <c r="X44" s="99"/>
      <c r="Y44" s="99"/>
    </row>
    <row r="45" spans="1:25">
      <c r="A45" s="99"/>
      <c r="B45" s="99"/>
      <c r="C45" s="99"/>
      <c r="D45" s="99"/>
      <c r="E45" s="99"/>
      <c r="F45" s="99"/>
      <c r="G45" s="99"/>
      <c r="H45" s="99"/>
      <c r="I45" s="99"/>
      <c r="J45" s="99"/>
      <c r="K45" s="99"/>
      <c r="L45" s="99"/>
      <c r="M45" s="99"/>
      <c r="N45" s="99"/>
      <c r="O45" s="99"/>
      <c r="P45" s="99"/>
      <c r="Q45" s="99"/>
      <c r="R45" s="99"/>
      <c r="S45" s="99"/>
      <c r="T45" s="99"/>
      <c r="U45" s="99"/>
      <c r="V45" s="99"/>
      <c r="W45" s="99"/>
      <c r="X45" s="99"/>
      <c r="Y45" s="99"/>
    </row>
    <row r="46" spans="1:25">
      <c r="A46" s="99"/>
      <c r="B46" s="99"/>
      <c r="C46" s="99"/>
      <c r="D46" s="99"/>
      <c r="E46" s="99"/>
      <c r="F46" s="99"/>
      <c r="G46" s="99"/>
      <c r="H46" s="99"/>
      <c r="I46" s="99"/>
      <c r="J46" s="99"/>
      <c r="K46" s="99"/>
      <c r="L46" s="99"/>
      <c r="M46" s="99"/>
      <c r="N46" s="99"/>
      <c r="O46" s="99"/>
      <c r="P46" s="99"/>
      <c r="Q46" s="99"/>
      <c r="R46" s="99"/>
      <c r="S46" s="99"/>
      <c r="T46" s="99"/>
      <c r="U46" s="99"/>
      <c r="V46" s="99"/>
      <c r="W46" s="99"/>
      <c r="X46" s="99"/>
      <c r="Y46" s="99"/>
    </row>
    <row r="47" spans="1:25">
      <c r="A47" s="99"/>
      <c r="B47" s="99"/>
      <c r="C47" s="99"/>
      <c r="D47" s="99"/>
      <c r="E47" s="99"/>
      <c r="F47" s="99"/>
      <c r="G47" s="99"/>
      <c r="H47" s="99"/>
      <c r="I47" s="99"/>
      <c r="J47" s="99"/>
      <c r="K47" s="99"/>
      <c r="L47" s="99"/>
      <c r="M47" s="99"/>
      <c r="N47" s="99"/>
      <c r="O47" s="99"/>
      <c r="P47" s="99"/>
      <c r="Q47" s="99"/>
      <c r="R47" s="99"/>
      <c r="S47" s="99"/>
      <c r="T47" s="99"/>
      <c r="U47" s="99"/>
      <c r="V47" s="99"/>
      <c r="W47" s="99"/>
      <c r="X47" s="99"/>
      <c r="Y47" s="99"/>
    </row>
    <row r="48" spans="1:25">
      <c r="A48" s="99"/>
      <c r="B48" s="99"/>
      <c r="C48" s="99"/>
      <c r="D48" s="99"/>
      <c r="E48" s="99"/>
      <c r="F48" s="99"/>
      <c r="G48" s="99"/>
      <c r="H48" s="99"/>
      <c r="I48" s="99"/>
      <c r="J48" s="99"/>
      <c r="K48" s="99"/>
      <c r="L48" s="99"/>
      <c r="M48" s="99"/>
      <c r="N48" s="99"/>
      <c r="O48" s="99"/>
      <c r="P48" s="99"/>
      <c r="Q48" s="99"/>
      <c r="R48" s="99"/>
      <c r="S48" s="99"/>
      <c r="T48" s="99"/>
      <c r="U48" s="99"/>
      <c r="V48" s="99"/>
      <c r="W48" s="99"/>
      <c r="X48" s="99"/>
      <c r="Y48" s="99"/>
    </row>
    <row r="49" spans="1:25">
      <c r="A49" s="99"/>
      <c r="B49" s="99"/>
      <c r="C49" s="99"/>
      <c r="D49" s="99"/>
      <c r="E49" s="99"/>
      <c r="F49" s="99"/>
      <c r="G49" s="99"/>
      <c r="H49" s="99"/>
      <c r="I49" s="99"/>
      <c r="J49" s="99"/>
      <c r="K49" s="99"/>
      <c r="L49" s="99"/>
      <c r="M49" s="99"/>
      <c r="N49" s="99"/>
      <c r="O49" s="99"/>
      <c r="P49" s="99"/>
      <c r="Q49" s="99"/>
      <c r="R49" s="99"/>
      <c r="S49" s="99"/>
      <c r="T49" s="99"/>
      <c r="U49" s="99"/>
      <c r="V49" s="99"/>
      <c r="W49" s="99"/>
      <c r="X49" s="99"/>
      <c r="Y49" s="99"/>
    </row>
    <row r="50" spans="1:25">
      <c r="A50" s="99"/>
      <c r="B50" s="99"/>
      <c r="C50" s="99"/>
      <c r="D50" s="99"/>
      <c r="E50" s="99"/>
      <c r="F50" s="99"/>
      <c r="G50" s="99"/>
      <c r="H50" s="99"/>
      <c r="I50" s="99"/>
      <c r="J50" s="99"/>
      <c r="K50" s="99"/>
      <c r="L50" s="99"/>
      <c r="M50" s="99"/>
      <c r="N50" s="99"/>
      <c r="O50" s="99"/>
      <c r="P50" s="99"/>
      <c r="Q50" s="99"/>
      <c r="R50" s="99"/>
      <c r="S50" s="99"/>
      <c r="T50" s="99"/>
      <c r="U50" s="99"/>
      <c r="V50" s="99"/>
      <c r="W50" s="99"/>
      <c r="X50" s="99"/>
      <c r="Y50" s="99"/>
    </row>
    <row r="51" spans="1:25">
      <c r="A51" s="99"/>
      <c r="B51" s="99"/>
      <c r="C51" s="99"/>
      <c r="D51" s="99"/>
      <c r="E51" s="99"/>
      <c r="F51" s="99"/>
      <c r="G51" s="99"/>
      <c r="H51" s="99"/>
      <c r="I51" s="99"/>
      <c r="J51" s="99"/>
      <c r="K51" s="99"/>
      <c r="L51" s="99"/>
      <c r="M51" s="99"/>
      <c r="N51" s="99"/>
      <c r="O51" s="99"/>
      <c r="P51" s="99"/>
      <c r="Q51" s="99"/>
      <c r="R51" s="99"/>
      <c r="S51" s="99"/>
      <c r="T51" s="99"/>
      <c r="U51" s="99"/>
      <c r="V51" s="99"/>
      <c r="W51" s="99"/>
      <c r="X51" s="99"/>
      <c r="Y51" s="99"/>
    </row>
    <row r="52" spans="1:25">
      <c r="A52" s="99"/>
      <c r="B52" s="99"/>
      <c r="C52" s="99"/>
      <c r="D52" s="99"/>
      <c r="E52" s="99"/>
      <c r="F52" s="99"/>
      <c r="G52" s="99"/>
      <c r="H52" s="99"/>
      <c r="I52" s="99"/>
      <c r="J52" s="99"/>
      <c r="K52" s="99"/>
      <c r="L52" s="99"/>
      <c r="M52" s="99"/>
      <c r="N52" s="99"/>
      <c r="O52" s="99"/>
      <c r="P52" s="99"/>
      <c r="Q52" s="99"/>
      <c r="R52" s="99"/>
      <c r="S52" s="99"/>
      <c r="T52" s="99"/>
      <c r="U52" s="99"/>
      <c r="V52" s="99"/>
      <c r="W52" s="99"/>
      <c r="X52" s="99"/>
      <c r="Y52" s="99"/>
    </row>
    <row r="53" spans="1:25">
      <c r="A53" s="99"/>
      <c r="B53" s="99"/>
      <c r="C53" s="99"/>
      <c r="D53" s="99"/>
      <c r="E53" s="99"/>
      <c r="F53" s="99"/>
      <c r="G53" s="99"/>
      <c r="H53" s="99"/>
      <c r="I53" s="99"/>
      <c r="J53" s="99"/>
      <c r="K53" s="99"/>
      <c r="L53" s="99"/>
      <c r="M53" s="99"/>
      <c r="N53" s="99"/>
      <c r="O53" s="99"/>
      <c r="P53" s="99"/>
      <c r="Q53" s="99"/>
      <c r="R53" s="99"/>
      <c r="S53" s="99"/>
      <c r="T53" s="99"/>
      <c r="U53" s="99"/>
      <c r="V53" s="99"/>
      <c r="W53" s="99"/>
      <c r="X53" s="99"/>
      <c r="Y53" s="99"/>
    </row>
    <row r="54" spans="1:25">
      <c r="A54" s="99"/>
      <c r="B54" s="99"/>
      <c r="C54" s="99"/>
      <c r="D54" s="99"/>
      <c r="E54" s="99"/>
      <c r="F54" s="99"/>
      <c r="G54" s="99"/>
      <c r="H54" s="99"/>
      <c r="I54" s="99"/>
      <c r="J54" s="99"/>
      <c r="K54" s="99"/>
      <c r="L54" s="99"/>
      <c r="M54" s="99"/>
      <c r="N54" s="99"/>
      <c r="O54" s="99"/>
      <c r="P54" s="99"/>
      <c r="Q54" s="99"/>
      <c r="R54" s="99"/>
      <c r="S54" s="99"/>
      <c r="T54" s="99"/>
      <c r="U54" s="99"/>
      <c r="V54" s="99"/>
      <c r="W54" s="99"/>
      <c r="X54" s="99"/>
      <c r="Y54" s="99"/>
    </row>
    <row r="55" spans="1:25">
      <c r="A55" s="99"/>
      <c r="B55" s="99"/>
      <c r="C55" s="99"/>
      <c r="D55" s="99"/>
      <c r="E55" s="99"/>
      <c r="F55" s="99"/>
      <c r="G55" s="99"/>
      <c r="H55" s="99"/>
      <c r="I55" s="99"/>
      <c r="J55" s="99"/>
      <c r="K55" s="99"/>
      <c r="L55" s="99"/>
      <c r="M55" s="99"/>
      <c r="N55" s="99"/>
      <c r="O55" s="99"/>
      <c r="P55" s="99"/>
      <c r="Q55" s="99"/>
      <c r="R55" s="99"/>
      <c r="S55" s="99"/>
      <c r="T55" s="99"/>
      <c r="U55" s="99"/>
      <c r="V55" s="99"/>
      <c r="W55" s="99"/>
      <c r="X55" s="99"/>
      <c r="Y55" s="99"/>
    </row>
    <row r="56" spans="1:25">
      <c r="A56" s="99"/>
      <c r="B56" s="99"/>
      <c r="C56" s="99"/>
      <c r="D56" s="99"/>
      <c r="E56" s="99"/>
      <c r="F56" s="99"/>
      <c r="G56" s="99"/>
      <c r="H56" s="99"/>
      <c r="I56" s="99"/>
      <c r="J56" s="99"/>
      <c r="K56" s="99"/>
      <c r="L56" s="99"/>
      <c r="M56" s="99"/>
      <c r="N56" s="99"/>
      <c r="O56" s="99"/>
      <c r="P56" s="99"/>
      <c r="Q56" s="99"/>
      <c r="R56" s="99"/>
      <c r="S56" s="99"/>
      <c r="T56" s="99"/>
      <c r="U56" s="99"/>
      <c r="V56" s="99"/>
      <c r="W56" s="99"/>
      <c r="X56" s="99"/>
      <c r="Y56" s="99"/>
    </row>
    <row r="57" spans="1:25">
      <c r="A57" s="99"/>
      <c r="B57" s="99"/>
      <c r="C57" s="99"/>
      <c r="D57" s="99"/>
      <c r="E57" s="99"/>
      <c r="F57" s="99"/>
      <c r="G57" s="99"/>
      <c r="H57" s="99"/>
      <c r="I57" s="99"/>
      <c r="J57" s="99"/>
      <c r="K57" s="99"/>
      <c r="L57" s="99"/>
      <c r="M57" s="99"/>
      <c r="N57" s="99"/>
      <c r="O57" s="99"/>
      <c r="P57" s="99"/>
      <c r="Q57" s="99"/>
      <c r="R57" s="99"/>
      <c r="S57" s="99"/>
      <c r="T57" s="99"/>
      <c r="U57" s="99"/>
      <c r="V57" s="99"/>
      <c r="W57" s="99"/>
      <c r="X57" s="99"/>
      <c r="Y57" s="99"/>
    </row>
    <row r="58" spans="1:25">
      <c r="A58" s="99"/>
      <c r="B58" s="99"/>
      <c r="C58" s="99"/>
      <c r="D58" s="99"/>
      <c r="E58" s="99"/>
      <c r="F58" s="99"/>
      <c r="G58" s="99"/>
      <c r="H58" s="99"/>
      <c r="I58" s="99"/>
      <c r="J58" s="99"/>
      <c r="K58" s="99"/>
      <c r="L58" s="99"/>
      <c r="M58" s="99"/>
      <c r="N58" s="99"/>
      <c r="O58" s="99"/>
      <c r="P58" s="99"/>
      <c r="Q58" s="99"/>
      <c r="R58" s="99"/>
      <c r="S58" s="99"/>
      <c r="T58" s="99"/>
      <c r="U58" s="99"/>
      <c r="V58" s="99"/>
      <c r="W58" s="99"/>
      <c r="X58" s="99"/>
      <c r="Y58" s="99"/>
    </row>
    <row r="59" spans="1:25">
      <c r="A59" s="99"/>
      <c r="B59" s="99"/>
      <c r="C59" s="99"/>
      <c r="D59" s="99"/>
      <c r="E59" s="99"/>
      <c r="F59" s="99"/>
      <c r="G59" s="99"/>
      <c r="H59" s="99"/>
      <c r="I59" s="99"/>
      <c r="J59" s="99"/>
      <c r="K59" s="99"/>
      <c r="L59" s="99"/>
      <c r="M59" s="99"/>
      <c r="N59" s="99"/>
      <c r="O59" s="99"/>
      <c r="P59" s="99"/>
      <c r="Q59" s="99"/>
      <c r="R59" s="99"/>
      <c r="S59" s="99"/>
      <c r="T59" s="99"/>
      <c r="U59" s="99"/>
      <c r="V59" s="99"/>
      <c r="W59" s="99"/>
      <c r="X59" s="99"/>
      <c r="Y59" s="99"/>
    </row>
    <row r="60" spans="1:25">
      <c r="A60" s="99"/>
      <c r="B60" s="99"/>
      <c r="C60" s="99"/>
      <c r="D60" s="99"/>
      <c r="E60" s="99"/>
      <c r="F60" s="99"/>
      <c r="G60" s="99"/>
      <c r="H60" s="99"/>
      <c r="I60" s="99"/>
      <c r="J60" s="99"/>
      <c r="K60" s="99"/>
      <c r="L60" s="99"/>
      <c r="M60" s="99"/>
      <c r="N60" s="99"/>
      <c r="O60" s="99"/>
      <c r="P60" s="99"/>
      <c r="Q60" s="99"/>
      <c r="R60" s="99"/>
      <c r="S60" s="99"/>
      <c r="T60" s="99"/>
      <c r="U60" s="99"/>
      <c r="V60" s="99"/>
      <c r="W60" s="99"/>
      <c r="X60" s="99"/>
      <c r="Y60" s="99"/>
    </row>
    <row r="61" spans="1:25">
      <c r="A61" s="99"/>
      <c r="B61" s="99"/>
      <c r="C61" s="99"/>
      <c r="D61" s="99"/>
      <c r="E61" s="99"/>
      <c r="F61" s="99"/>
      <c r="G61" s="99"/>
      <c r="H61" s="99"/>
      <c r="I61" s="99"/>
      <c r="J61" s="99"/>
      <c r="K61" s="99"/>
      <c r="L61" s="99"/>
      <c r="M61" s="99"/>
      <c r="N61" s="99"/>
      <c r="O61" s="99"/>
      <c r="P61" s="99"/>
      <c r="Q61" s="99"/>
      <c r="R61" s="99"/>
      <c r="S61" s="99"/>
      <c r="T61" s="99"/>
      <c r="U61" s="99"/>
      <c r="V61" s="99"/>
      <c r="W61" s="99"/>
      <c r="X61" s="99"/>
      <c r="Y61" s="99"/>
    </row>
    <row r="62" spans="1:25">
      <c r="A62" s="99"/>
      <c r="B62" s="99"/>
      <c r="C62" s="99"/>
      <c r="D62" s="99"/>
      <c r="E62" s="99"/>
      <c r="F62" s="99"/>
      <c r="G62" s="99"/>
      <c r="H62" s="99"/>
      <c r="I62" s="99"/>
      <c r="J62" s="99"/>
      <c r="K62" s="99"/>
      <c r="L62" s="99"/>
      <c r="M62" s="99"/>
      <c r="N62" s="99"/>
      <c r="O62" s="99"/>
      <c r="P62" s="99"/>
      <c r="Q62" s="99"/>
      <c r="R62" s="99"/>
      <c r="S62" s="99"/>
      <c r="T62" s="99"/>
      <c r="U62" s="99"/>
      <c r="V62" s="99"/>
      <c r="W62" s="99"/>
      <c r="X62" s="99"/>
      <c r="Y62" s="99"/>
    </row>
    <row r="63" spans="1:25">
      <c r="A63" s="99"/>
      <c r="B63" s="99"/>
      <c r="C63" s="99"/>
      <c r="D63" s="99"/>
      <c r="E63" s="99"/>
      <c r="F63" s="99"/>
      <c r="G63" s="99"/>
      <c r="H63" s="99"/>
      <c r="I63" s="99"/>
      <c r="J63" s="99"/>
      <c r="K63" s="99"/>
      <c r="L63" s="99"/>
      <c r="M63" s="99"/>
      <c r="N63" s="99"/>
      <c r="O63" s="99"/>
      <c r="P63" s="99"/>
      <c r="Q63" s="99"/>
      <c r="R63" s="99"/>
      <c r="S63" s="99"/>
      <c r="T63" s="99"/>
      <c r="U63" s="99"/>
      <c r="V63" s="99"/>
      <c r="W63" s="99"/>
      <c r="X63" s="99"/>
      <c r="Y63" s="99"/>
    </row>
    <row r="64" spans="1:25">
      <c r="A64" s="99"/>
      <c r="B64" s="99"/>
      <c r="C64" s="99"/>
      <c r="D64" s="99"/>
      <c r="E64" s="99"/>
      <c r="F64" s="99"/>
      <c r="G64" s="99"/>
      <c r="H64" s="99"/>
      <c r="I64" s="99"/>
      <c r="J64" s="99"/>
      <c r="K64" s="99"/>
      <c r="L64" s="99"/>
      <c r="M64" s="99"/>
      <c r="N64" s="99"/>
      <c r="O64" s="99"/>
      <c r="P64" s="99"/>
      <c r="Q64" s="99"/>
      <c r="R64" s="99"/>
      <c r="S64" s="99"/>
      <c r="T64" s="99"/>
      <c r="U64" s="99"/>
      <c r="V64" s="99"/>
      <c r="W64" s="99"/>
      <c r="X64" s="99"/>
      <c r="Y64" s="99"/>
    </row>
    <row r="65" spans="1:25">
      <c r="A65" s="99"/>
      <c r="B65" s="99"/>
      <c r="C65" s="99"/>
      <c r="D65" s="99"/>
      <c r="E65" s="99"/>
      <c r="F65" s="99"/>
      <c r="G65" s="99"/>
      <c r="H65" s="99"/>
      <c r="I65" s="99"/>
      <c r="J65" s="99"/>
      <c r="K65" s="99"/>
      <c r="L65" s="99"/>
      <c r="M65" s="99"/>
      <c r="N65" s="99"/>
      <c r="O65" s="99"/>
      <c r="P65" s="99"/>
      <c r="Q65" s="99"/>
      <c r="R65" s="99"/>
      <c r="S65" s="99"/>
      <c r="T65" s="99"/>
      <c r="U65" s="99"/>
      <c r="V65" s="99"/>
      <c r="W65" s="99"/>
      <c r="X65" s="99"/>
      <c r="Y65" s="99"/>
    </row>
    <row r="66" spans="1:25">
      <c r="A66" s="99"/>
      <c r="B66" s="99"/>
      <c r="C66" s="99"/>
      <c r="D66" s="99"/>
      <c r="E66" s="99"/>
      <c r="F66" s="99"/>
      <c r="G66" s="99"/>
      <c r="H66" s="99"/>
      <c r="I66" s="99"/>
      <c r="J66" s="99"/>
      <c r="K66" s="99"/>
      <c r="L66" s="99"/>
      <c r="M66" s="99"/>
      <c r="N66" s="99"/>
      <c r="O66" s="99"/>
      <c r="P66" s="99"/>
      <c r="Q66" s="99"/>
      <c r="R66" s="99"/>
      <c r="S66" s="99"/>
      <c r="T66" s="99"/>
      <c r="U66" s="99"/>
      <c r="V66" s="99"/>
      <c r="W66" s="99"/>
      <c r="X66" s="99"/>
      <c r="Y66" s="99"/>
    </row>
    <row r="67" spans="1:25">
      <c r="A67" s="99"/>
      <c r="B67" s="99"/>
      <c r="C67" s="99"/>
      <c r="D67" s="99"/>
      <c r="E67" s="99"/>
      <c r="F67" s="99"/>
      <c r="G67" s="99"/>
      <c r="H67" s="99"/>
      <c r="I67" s="99"/>
      <c r="J67" s="99"/>
      <c r="K67" s="99"/>
      <c r="L67" s="99"/>
      <c r="M67" s="99"/>
      <c r="N67" s="99"/>
      <c r="O67" s="99"/>
      <c r="P67" s="99"/>
      <c r="Q67" s="99"/>
      <c r="R67" s="99"/>
      <c r="S67" s="99"/>
      <c r="T67" s="99"/>
      <c r="U67" s="99"/>
      <c r="V67" s="99"/>
      <c r="W67" s="99"/>
      <c r="X67" s="99"/>
      <c r="Y67" s="99"/>
    </row>
    <row r="68" spans="1:25">
      <c r="A68" s="99"/>
      <c r="B68" s="99"/>
      <c r="C68" s="99"/>
      <c r="D68" s="99"/>
      <c r="E68" s="99"/>
      <c r="F68" s="99"/>
      <c r="G68" s="99"/>
      <c r="H68" s="99"/>
      <c r="I68" s="99"/>
      <c r="J68" s="99"/>
      <c r="K68" s="99"/>
      <c r="L68" s="99"/>
      <c r="M68" s="99"/>
      <c r="N68" s="99"/>
      <c r="O68" s="99"/>
      <c r="P68" s="99"/>
      <c r="Q68" s="99"/>
      <c r="R68" s="99"/>
      <c r="S68" s="99"/>
      <c r="T68" s="99"/>
      <c r="U68" s="99"/>
      <c r="V68" s="99"/>
      <c r="W68" s="99"/>
      <c r="X68" s="99"/>
      <c r="Y68" s="99"/>
    </row>
    <row r="69" spans="1:25">
      <c r="A69" s="99"/>
      <c r="B69" s="99"/>
      <c r="C69" s="99"/>
      <c r="D69" s="99"/>
      <c r="E69" s="99"/>
      <c r="F69" s="99"/>
      <c r="G69" s="99"/>
      <c r="H69" s="99"/>
      <c r="I69" s="99"/>
      <c r="J69" s="99"/>
      <c r="K69" s="99"/>
      <c r="L69" s="99"/>
      <c r="M69" s="99"/>
      <c r="N69" s="99"/>
      <c r="O69" s="99"/>
      <c r="P69" s="99"/>
      <c r="Q69" s="99"/>
      <c r="R69" s="99"/>
      <c r="S69" s="99"/>
      <c r="T69" s="99"/>
      <c r="U69" s="99"/>
      <c r="V69" s="99"/>
      <c r="W69" s="99"/>
      <c r="X69" s="99"/>
      <c r="Y69" s="99"/>
    </row>
    <row r="70" spans="1:25">
      <c r="A70" s="99"/>
      <c r="B70" s="99"/>
      <c r="C70" s="99"/>
      <c r="D70" s="99"/>
      <c r="E70" s="99"/>
      <c r="F70" s="99"/>
      <c r="G70" s="99"/>
      <c r="H70" s="99"/>
      <c r="I70" s="99"/>
      <c r="J70" s="99"/>
      <c r="K70" s="99"/>
      <c r="L70" s="99"/>
      <c r="M70" s="99"/>
      <c r="N70" s="99"/>
      <c r="O70" s="99"/>
      <c r="P70" s="99"/>
      <c r="Q70" s="99"/>
      <c r="R70" s="99"/>
      <c r="S70" s="99"/>
      <c r="T70" s="99"/>
      <c r="U70" s="99"/>
      <c r="V70" s="99"/>
      <c r="W70" s="99"/>
      <c r="X70" s="99"/>
      <c r="Y70" s="99"/>
    </row>
    <row r="71" spans="1:25">
      <c r="A71" s="99"/>
      <c r="B71" s="99"/>
      <c r="C71" s="99"/>
      <c r="D71" s="99"/>
      <c r="E71" s="99"/>
      <c r="F71" s="99"/>
      <c r="G71" s="99"/>
      <c r="H71" s="99"/>
      <c r="I71" s="99"/>
      <c r="J71" s="99"/>
      <c r="K71" s="99"/>
      <c r="L71" s="99"/>
      <c r="M71" s="99"/>
      <c r="N71" s="99"/>
      <c r="O71" s="99"/>
      <c r="P71" s="99"/>
      <c r="Q71" s="99"/>
      <c r="R71" s="99"/>
      <c r="S71" s="99"/>
      <c r="T71" s="99"/>
      <c r="U71" s="99"/>
      <c r="V71" s="99"/>
      <c r="W71" s="99"/>
      <c r="X71" s="99"/>
      <c r="Y71" s="99"/>
    </row>
    <row r="72" spans="1:25">
      <c r="A72" s="99"/>
      <c r="B72" s="99"/>
      <c r="C72" s="99"/>
      <c r="D72" s="99"/>
      <c r="E72" s="99"/>
      <c r="F72" s="99"/>
      <c r="G72" s="99"/>
      <c r="H72" s="99"/>
      <c r="I72" s="99"/>
      <c r="J72" s="99"/>
      <c r="K72" s="99"/>
      <c r="L72" s="99"/>
      <c r="M72" s="99"/>
      <c r="N72" s="99"/>
      <c r="O72" s="99"/>
      <c r="P72" s="99"/>
      <c r="Q72" s="99"/>
      <c r="R72" s="99"/>
      <c r="S72" s="99"/>
      <c r="T72" s="99"/>
      <c r="U72" s="99"/>
      <c r="V72" s="99"/>
      <c r="W72" s="99"/>
      <c r="X72" s="99"/>
      <c r="Y72" s="99"/>
    </row>
    <row r="73" spans="1:25">
      <c r="A73" s="99"/>
      <c r="B73" s="99"/>
      <c r="C73" s="99"/>
      <c r="D73" s="99"/>
      <c r="E73" s="99"/>
      <c r="F73" s="99"/>
      <c r="G73" s="99"/>
      <c r="H73" s="99"/>
      <c r="I73" s="99"/>
      <c r="J73" s="99"/>
      <c r="K73" s="99"/>
      <c r="L73" s="99"/>
      <c r="M73" s="99"/>
      <c r="N73" s="99"/>
      <c r="O73" s="99"/>
      <c r="P73" s="99"/>
      <c r="Q73" s="99"/>
      <c r="R73" s="99"/>
      <c r="S73" s="99"/>
      <c r="T73" s="99"/>
      <c r="U73" s="99"/>
      <c r="V73" s="99"/>
      <c r="W73" s="99"/>
      <c r="X73" s="99"/>
      <c r="Y73" s="99"/>
    </row>
    <row r="74" spans="1:25">
      <c r="A74" s="99"/>
      <c r="B74" s="99"/>
      <c r="C74" s="99"/>
      <c r="D74" s="99"/>
      <c r="E74" s="99"/>
      <c r="F74" s="99"/>
      <c r="G74" s="99"/>
      <c r="H74" s="99"/>
      <c r="I74" s="99"/>
      <c r="J74" s="99"/>
      <c r="K74" s="99"/>
      <c r="L74" s="99"/>
      <c r="M74" s="99"/>
      <c r="N74" s="99"/>
      <c r="O74" s="99"/>
      <c r="P74" s="99"/>
      <c r="Q74" s="99"/>
      <c r="R74" s="99"/>
      <c r="S74" s="99"/>
      <c r="T74" s="99"/>
      <c r="U74" s="99"/>
      <c r="V74" s="99"/>
      <c r="W74" s="99"/>
      <c r="X74" s="99"/>
      <c r="Y74" s="99"/>
    </row>
    <row r="75" spans="1:25">
      <c r="A75" s="99"/>
      <c r="B75" s="99"/>
      <c r="C75" s="99"/>
      <c r="D75" s="99"/>
      <c r="E75" s="99"/>
      <c r="F75" s="99"/>
      <c r="G75" s="99"/>
      <c r="H75" s="99"/>
      <c r="I75" s="99"/>
      <c r="J75" s="99"/>
      <c r="K75" s="99"/>
      <c r="L75" s="99"/>
      <c r="M75" s="99"/>
      <c r="N75" s="99"/>
      <c r="O75" s="99"/>
      <c r="P75" s="99"/>
      <c r="Q75" s="99"/>
      <c r="R75" s="99"/>
      <c r="S75" s="99"/>
      <c r="T75" s="99"/>
      <c r="U75" s="99"/>
      <c r="V75" s="99"/>
      <c r="W75" s="99"/>
      <c r="X75" s="99"/>
      <c r="Y75" s="99"/>
    </row>
    <row r="76" spans="1:25">
      <c r="A76" s="99"/>
      <c r="B76" s="99"/>
      <c r="C76" s="99"/>
      <c r="D76" s="99"/>
      <c r="E76" s="99"/>
      <c r="F76" s="99"/>
      <c r="G76" s="99"/>
      <c r="H76" s="99"/>
      <c r="I76" s="99"/>
      <c r="J76" s="99"/>
      <c r="K76" s="99"/>
      <c r="L76" s="99"/>
      <c r="M76" s="99"/>
      <c r="N76" s="99"/>
      <c r="O76" s="99"/>
      <c r="P76" s="99"/>
      <c r="Q76" s="99"/>
      <c r="R76" s="99"/>
      <c r="S76" s="99"/>
      <c r="T76" s="99"/>
      <c r="U76" s="99"/>
      <c r="V76" s="99"/>
      <c r="W76" s="99"/>
      <c r="X76" s="99"/>
      <c r="Y76" s="99"/>
    </row>
    <row r="77" spans="1:25">
      <c r="A77" s="99"/>
      <c r="B77" s="99"/>
      <c r="C77" s="99"/>
      <c r="D77" s="99"/>
      <c r="E77" s="99"/>
      <c r="F77" s="99"/>
      <c r="G77" s="99"/>
      <c r="H77" s="99"/>
      <c r="I77" s="99"/>
      <c r="J77" s="99"/>
      <c r="K77" s="99"/>
      <c r="L77" s="99"/>
      <c r="M77" s="99"/>
      <c r="N77" s="99"/>
      <c r="O77" s="99"/>
      <c r="P77" s="99"/>
      <c r="Q77" s="99"/>
      <c r="R77" s="99"/>
      <c r="S77" s="99"/>
      <c r="T77" s="99"/>
      <c r="U77" s="99"/>
      <c r="V77" s="99"/>
      <c r="W77" s="99"/>
      <c r="X77" s="99"/>
      <c r="Y77" s="99"/>
    </row>
    <row r="78" spans="1:25">
      <c r="A78" s="99"/>
      <c r="B78" s="99"/>
      <c r="C78" s="99"/>
      <c r="D78" s="99"/>
      <c r="E78" s="99"/>
      <c r="F78" s="99"/>
      <c r="G78" s="99"/>
      <c r="H78" s="99"/>
      <c r="I78" s="99"/>
      <c r="J78" s="99"/>
      <c r="K78" s="99"/>
      <c r="L78" s="99"/>
      <c r="M78" s="99"/>
      <c r="N78" s="99"/>
      <c r="O78" s="99"/>
      <c r="P78" s="99"/>
      <c r="Q78" s="99"/>
      <c r="R78" s="99"/>
      <c r="S78" s="99"/>
      <c r="T78" s="99"/>
      <c r="U78" s="99"/>
      <c r="V78" s="99"/>
      <c r="W78" s="99"/>
      <c r="X78" s="99"/>
      <c r="Y78" s="99"/>
    </row>
    <row r="79" spans="1:25">
      <c r="A79" s="99"/>
      <c r="B79" s="99"/>
      <c r="C79" s="99"/>
      <c r="D79" s="99"/>
      <c r="E79" s="99"/>
      <c r="F79" s="99"/>
      <c r="G79" s="99"/>
      <c r="H79" s="99"/>
      <c r="I79" s="99"/>
      <c r="J79" s="99"/>
      <c r="K79" s="99"/>
      <c r="L79" s="99"/>
      <c r="M79" s="99"/>
      <c r="N79" s="99"/>
      <c r="O79" s="99"/>
      <c r="P79" s="99"/>
      <c r="Q79" s="99"/>
      <c r="R79" s="99"/>
      <c r="S79" s="99"/>
      <c r="T79" s="99"/>
      <c r="U79" s="99"/>
      <c r="V79" s="99"/>
      <c r="W79" s="99"/>
      <c r="X79" s="99"/>
      <c r="Y79" s="99"/>
    </row>
    <row r="80" spans="1:25">
      <c r="A80" s="99"/>
      <c r="B80" s="99"/>
      <c r="C80" s="99"/>
      <c r="D80" s="99"/>
      <c r="E80" s="99"/>
      <c r="F80" s="99"/>
      <c r="G80" s="99"/>
      <c r="H80" s="99"/>
      <c r="I80" s="99"/>
      <c r="J80" s="99"/>
      <c r="K80" s="99"/>
      <c r="L80" s="99"/>
      <c r="M80" s="99"/>
      <c r="N80" s="99"/>
      <c r="O80" s="99"/>
      <c r="P80" s="99"/>
      <c r="Q80" s="99"/>
      <c r="R80" s="99"/>
      <c r="S80" s="99"/>
      <c r="T80" s="99"/>
      <c r="U80" s="99"/>
      <c r="V80" s="99"/>
      <c r="W80" s="99"/>
      <c r="X80" s="99"/>
      <c r="Y80" s="99"/>
    </row>
    <row r="81" spans="1:25">
      <c r="A81" s="99"/>
      <c r="B81" s="99"/>
      <c r="C81" s="99"/>
      <c r="D81" s="99"/>
      <c r="E81" s="99"/>
      <c r="F81" s="99"/>
      <c r="G81" s="99"/>
      <c r="H81" s="99"/>
      <c r="I81" s="99"/>
      <c r="J81" s="99"/>
      <c r="K81" s="99"/>
      <c r="L81" s="99"/>
      <c r="M81" s="99"/>
      <c r="N81" s="99"/>
      <c r="O81" s="99"/>
      <c r="P81" s="99"/>
      <c r="Q81" s="99"/>
      <c r="R81" s="99"/>
      <c r="S81" s="99"/>
      <c r="T81" s="99"/>
      <c r="U81" s="99"/>
      <c r="V81" s="99"/>
      <c r="W81" s="99"/>
      <c r="X81" s="99"/>
      <c r="Y81" s="99"/>
    </row>
    <row r="82" spans="1:25">
      <c r="A82" s="99"/>
      <c r="B82" s="99"/>
      <c r="C82" s="99"/>
      <c r="D82" s="99"/>
      <c r="E82" s="99"/>
      <c r="F82" s="99"/>
      <c r="G82" s="99"/>
      <c r="H82" s="99"/>
      <c r="I82" s="99"/>
      <c r="J82" s="99"/>
      <c r="K82" s="99"/>
      <c r="L82" s="99"/>
      <c r="M82" s="99"/>
      <c r="N82" s="99"/>
      <c r="O82" s="99"/>
      <c r="P82" s="99"/>
      <c r="Q82" s="99"/>
      <c r="R82" s="99"/>
      <c r="S82" s="99"/>
      <c r="T82" s="99"/>
      <c r="U82" s="99"/>
      <c r="V82" s="99"/>
      <c r="W82" s="99"/>
      <c r="X82" s="99"/>
      <c r="Y82" s="99"/>
    </row>
    <row r="83" spans="1:25">
      <c r="A83" s="99"/>
      <c r="B83" s="99"/>
      <c r="C83" s="99"/>
      <c r="D83" s="99"/>
      <c r="E83" s="99"/>
      <c r="F83" s="99"/>
      <c r="G83" s="99"/>
      <c r="H83" s="99"/>
      <c r="I83" s="99"/>
      <c r="J83" s="99"/>
      <c r="K83" s="99"/>
      <c r="L83" s="99"/>
      <c r="M83" s="99"/>
      <c r="N83" s="99"/>
      <c r="O83" s="99"/>
      <c r="P83" s="99"/>
      <c r="Q83" s="99"/>
      <c r="R83" s="99"/>
      <c r="S83" s="99"/>
      <c r="T83" s="99"/>
      <c r="U83" s="99"/>
      <c r="V83" s="99"/>
      <c r="W83" s="99"/>
      <c r="X83" s="99"/>
      <c r="Y83" s="99"/>
    </row>
    <row r="84" spans="1:25">
      <c r="A84" s="99"/>
      <c r="B84" s="99"/>
      <c r="C84" s="99"/>
      <c r="D84" s="99"/>
      <c r="E84" s="99"/>
      <c r="F84" s="99"/>
      <c r="G84" s="99"/>
      <c r="H84" s="99"/>
      <c r="I84" s="99"/>
      <c r="J84" s="99"/>
      <c r="K84" s="99"/>
      <c r="L84" s="99"/>
      <c r="M84" s="99"/>
      <c r="N84" s="99"/>
      <c r="O84" s="99"/>
      <c r="P84" s="99"/>
      <c r="Q84" s="99"/>
      <c r="R84" s="99"/>
      <c r="S84" s="99"/>
      <c r="T84" s="99"/>
      <c r="U84" s="99"/>
      <c r="V84" s="99"/>
      <c r="W84" s="99"/>
      <c r="X84" s="99"/>
      <c r="Y84" s="99"/>
    </row>
    <row r="85" spans="1:25">
      <c r="A85" s="99"/>
      <c r="B85" s="99"/>
      <c r="C85" s="99"/>
      <c r="D85" s="99"/>
      <c r="E85" s="99"/>
      <c r="F85" s="99"/>
      <c r="G85" s="99"/>
      <c r="H85" s="99"/>
      <c r="I85" s="99"/>
      <c r="J85" s="99"/>
      <c r="K85" s="99"/>
      <c r="L85" s="99"/>
      <c r="M85" s="99"/>
      <c r="N85" s="99"/>
      <c r="O85" s="99"/>
      <c r="P85" s="99"/>
      <c r="Q85" s="99"/>
      <c r="R85" s="99"/>
      <c r="S85" s="99"/>
      <c r="T85" s="99"/>
      <c r="U85" s="99"/>
      <c r="V85" s="99"/>
      <c r="W85" s="99"/>
      <c r="X85" s="99"/>
      <c r="Y85" s="99"/>
    </row>
    <row r="86" spans="1:25">
      <c r="A86" s="99"/>
      <c r="B86" s="99"/>
      <c r="C86" s="99"/>
      <c r="D86" s="99"/>
      <c r="E86" s="99"/>
      <c r="F86" s="99"/>
      <c r="G86" s="99"/>
      <c r="H86" s="99"/>
      <c r="I86" s="99"/>
      <c r="J86" s="99"/>
      <c r="K86" s="99"/>
      <c r="L86" s="99"/>
      <c r="M86" s="99"/>
      <c r="N86" s="99"/>
      <c r="O86" s="99"/>
      <c r="P86" s="99"/>
      <c r="Q86" s="99"/>
      <c r="R86" s="99"/>
      <c r="S86" s="99"/>
      <c r="T86" s="99"/>
      <c r="U86" s="99"/>
      <c r="V86" s="99"/>
      <c r="W86" s="99"/>
      <c r="X86" s="99"/>
      <c r="Y86" s="99"/>
    </row>
    <row r="87" spans="1:25">
      <c r="A87" s="99"/>
      <c r="B87" s="99"/>
      <c r="C87" s="99"/>
      <c r="D87" s="99"/>
      <c r="E87" s="99"/>
      <c r="F87" s="99"/>
      <c r="G87" s="99"/>
      <c r="H87" s="99"/>
      <c r="I87" s="99"/>
      <c r="J87" s="99"/>
      <c r="K87" s="99"/>
      <c r="L87" s="99"/>
      <c r="M87" s="99"/>
      <c r="N87" s="99"/>
      <c r="O87" s="99"/>
      <c r="P87" s="99"/>
      <c r="Q87" s="99"/>
      <c r="R87" s="99"/>
      <c r="S87" s="99"/>
      <c r="T87" s="99"/>
      <c r="U87" s="99"/>
      <c r="V87" s="99"/>
      <c r="W87" s="99"/>
      <c r="X87" s="99"/>
      <c r="Y87" s="99"/>
    </row>
    <row r="88" spans="1:25">
      <c r="A88" s="99"/>
      <c r="B88" s="99"/>
      <c r="C88" s="99"/>
      <c r="D88" s="99"/>
      <c r="E88" s="99"/>
      <c r="F88" s="99"/>
      <c r="G88" s="99"/>
      <c r="H88" s="99"/>
      <c r="I88" s="99"/>
      <c r="J88" s="99"/>
      <c r="K88" s="99"/>
      <c r="L88" s="99"/>
      <c r="M88" s="99"/>
      <c r="N88" s="99"/>
      <c r="O88" s="99"/>
      <c r="P88" s="99"/>
      <c r="Q88" s="99"/>
      <c r="R88" s="99"/>
      <c r="S88" s="99"/>
      <c r="T88" s="99"/>
      <c r="U88" s="99"/>
      <c r="V88" s="99"/>
      <c r="W88" s="99"/>
      <c r="X88" s="99"/>
      <c r="Y88" s="99"/>
    </row>
    <row r="89" spans="1:25">
      <c r="A89" s="99"/>
      <c r="B89" s="99"/>
      <c r="C89" s="99"/>
      <c r="D89" s="99"/>
      <c r="E89" s="99"/>
      <c r="F89" s="99"/>
      <c r="G89" s="99"/>
      <c r="H89" s="99"/>
      <c r="I89" s="99"/>
      <c r="J89" s="99"/>
      <c r="K89" s="99"/>
      <c r="L89" s="99"/>
      <c r="M89" s="99"/>
      <c r="N89" s="99"/>
      <c r="O89" s="99"/>
      <c r="P89" s="99"/>
      <c r="Q89" s="99"/>
      <c r="R89" s="99"/>
      <c r="S89" s="99"/>
      <c r="T89" s="99"/>
      <c r="U89" s="99"/>
      <c r="V89" s="99"/>
      <c r="W89" s="99"/>
      <c r="X89" s="99"/>
      <c r="Y89" s="99"/>
    </row>
    <row r="90" spans="1:25">
      <c r="A90" s="99"/>
      <c r="B90" s="99"/>
      <c r="C90" s="99"/>
      <c r="D90" s="99"/>
      <c r="E90" s="99"/>
      <c r="F90" s="99"/>
      <c r="G90" s="99"/>
      <c r="H90" s="99"/>
      <c r="I90" s="99"/>
      <c r="J90" s="99"/>
      <c r="K90" s="99"/>
      <c r="L90" s="99"/>
      <c r="M90" s="99"/>
      <c r="N90" s="99"/>
      <c r="O90" s="99"/>
      <c r="P90" s="99"/>
      <c r="Q90" s="99"/>
      <c r="R90" s="99"/>
      <c r="S90" s="99"/>
      <c r="T90" s="99"/>
      <c r="U90" s="99"/>
      <c r="V90" s="99"/>
      <c r="W90" s="99"/>
      <c r="X90" s="99"/>
      <c r="Y90" s="99"/>
    </row>
    <row r="91" spans="1:25">
      <c r="A91" s="99"/>
      <c r="B91" s="99"/>
      <c r="C91" s="99"/>
      <c r="D91" s="99"/>
      <c r="E91" s="99"/>
      <c r="F91" s="99"/>
      <c r="G91" s="99"/>
      <c r="H91" s="99"/>
      <c r="I91" s="99"/>
      <c r="J91" s="99"/>
      <c r="K91" s="99"/>
      <c r="L91" s="99"/>
      <c r="M91" s="99"/>
      <c r="N91" s="99"/>
      <c r="O91" s="99"/>
      <c r="P91" s="99"/>
      <c r="Q91" s="99"/>
      <c r="R91" s="99"/>
      <c r="S91" s="99"/>
      <c r="T91" s="99"/>
      <c r="U91" s="99"/>
      <c r="V91" s="99"/>
      <c r="W91" s="99"/>
      <c r="X91" s="99"/>
      <c r="Y91" s="99"/>
    </row>
    <row r="92" spans="1:25">
      <c r="A92" s="99"/>
      <c r="B92" s="99"/>
      <c r="C92" s="99"/>
      <c r="D92" s="99"/>
      <c r="E92" s="99"/>
      <c r="F92" s="99"/>
      <c r="G92" s="99"/>
      <c r="H92" s="99"/>
      <c r="I92" s="99"/>
      <c r="J92" s="99"/>
      <c r="K92" s="99"/>
      <c r="L92" s="99"/>
      <c r="M92" s="99"/>
      <c r="N92" s="99"/>
      <c r="O92" s="99"/>
      <c r="P92" s="99"/>
      <c r="Q92" s="99"/>
      <c r="R92" s="99"/>
      <c r="S92" s="99"/>
      <c r="T92" s="99"/>
      <c r="U92" s="99"/>
      <c r="V92" s="99"/>
      <c r="W92" s="99"/>
      <c r="X92" s="99"/>
      <c r="Y92" s="99"/>
    </row>
    <row r="93" spans="1:25">
      <c r="A93" s="99"/>
      <c r="B93" s="99"/>
      <c r="C93" s="99"/>
      <c r="D93" s="99"/>
      <c r="E93" s="99"/>
      <c r="F93" s="99"/>
      <c r="G93" s="99"/>
      <c r="H93" s="99"/>
      <c r="I93" s="99"/>
      <c r="J93" s="99"/>
      <c r="K93" s="99"/>
      <c r="L93" s="99"/>
      <c r="M93" s="99"/>
      <c r="N93" s="99"/>
      <c r="O93" s="99"/>
      <c r="P93" s="99"/>
      <c r="Q93" s="99"/>
      <c r="R93" s="99"/>
      <c r="S93" s="99"/>
      <c r="T93" s="99"/>
      <c r="U93" s="99"/>
      <c r="V93" s="99"/>
      <c r="W93" s="99"/>
      <c r="X93" s="99"/>
      <c r="Y93" s="99"/>
    </row>
    <row r="94" spans="1:25">
      <c r="A94" s="99"/>
      <c r="B94" s="99"/>
      <c r="C94" s="99"/>
      <c r="D94" s="99"/>
      <c r="E94" s="99"/>
      <c r="F94" s="99"/>
      <c r="G94" s="99"/>
      <c r="H94" s="99"/>
      <c r="I94" s="99"/>
      <c r="J94" s="99"/>
      <c r="K94" s="99"/>
      <c r="L94" s="99"/>
      <c r="M94" s="99"/>
      <c r="N94" s="99"/>
      <c r="O94" s="99"/>
      <c r="P94" s="99"/>
      <c r="Q94" s="99"/>
      <c r="R94" s="99"/>
      <c r="S94" s="99"/>
      <c r="T94" s="99"/>
      <c r="U94" s="99"/>
      <c r="V94" s="99"/>
      <c r="W94" s="99"/>
      <c r="X94" s="99"/>
      <c r="Y94" s="99"/>
    </row>
    <row r="95" spans="1:25">
      <c r="A95" s="99"/>
      <c r="B95" s="99"/>
      <c r="C95" s="99"/>
      <c r="D95" s="99"/>
      <c r="E95" s="99"/>
      <c r="F95" s="99"/>
      <c r="G95" s="99"/>
      <c r="H95" s="99"/>
      <c r="I95" s="99"/>
      <c r="J95" s="99"/>
      <c r="K95" s="99"/>
      <c r="L95" s="99"/>
      <c r="M95" s="99"/>
      <c r="N95" s="99"/>
      <c r="O95" s="99"/>
      <c r="P95" s="99"/>
      <c r="Q95" s="99"/>
      <c r="R95" s="99"/>
      <c r="S95" s="99"/>
      <c r="T95" s="99"/>
      <c r="U95" s="99"/>
      <c r="V95" s="99"/>
      <c r="W95" s="99"/>
      <c r="X95" s="99"/>
      <c r="Y95" s="99"/>
    </row>
    <row r="96" spans="1:25">
      <c r="A96" s="99"/>
      <c r="B96" s="99"/>
      <c r="C96" s="99"/>
      <c r="D96" s="99"/>
      <c r="E96" s="99"/>
      <c r="F96" s="99"/>
      <c r="G96" s="99"/>
      <c r="H96" s="99"/>
      <c r="I96" s="99"/>
      <c r="J96" s="99"/>
      <c r="K96" s="99"/>
      <c r="L96" s="99"/>
      <c r="M96" s="99"/>
      <c r="N96" s="99"/>
      <c r="O96" s="99"/>
      <c r="P96" s="99"/>
      <c r="Q96" s="99"/>
      <c r="R96" s="99"/>
      <c r="S96" s="99"/>
      <c r="T96" s="99"/>
      <c r="U96" s="99"/>
      <c r="V96" s="99"/>
      <c r="W96" s="99"/>
      <c r="X96" s="99"/>
      <c r="Y96" s="99"/>
    </row>
    <row r="97" spans="1:25">
      <c r="A97" s="99"/>
      <c r="B97" s="99"/>
      <c r="C97" s="99"/>
      <c r="D97" s="99"/>
      <c r="E97" s="99"/>
      <c r="F97" s="99"/>
      <c r="G97" s="99"/>
      <c r="H97" s="99"/>
      <c r="I97" s="99"/>
      <c r="J97" s="99"/>
      <c r="K97" s="99"/>
      <c r="L97" s="99"/>
      <c r="M97" s="99"/>
      <c r="N97" s="99"/>
      <c r="O97" s="99"/>
      <c r="P97" s="99"/>
      <c r="Q97" s="99"/>
      <c r="R97" s="99"/>
      <c r="S97" s="99"/>
      <c r="T97" s="99"/>
      <c r="U97" s="99"/>
      <c r="V97" s="99"/>
      <c r="W97" s="99"/>
      <c r="X97" s="99"/>
      <c r="Y97" s="99"/>
    </row>
    <row r="98" spans="1:25">
      <c r="A98" s="99"/>
      <c r="B98" s="99"/>
      <c r="C98" s="99"/>
      <c r="D98" s="99"/>
      <c r="E98" s="99"/>
      <c r="F98" s="99"/>
      <c r="G98" s="99"/>
      <c r="H98" s="99"/>
      <c r="I98" s="99"/>
      <c r="J98" s="99"/>
      <c r="K98" s="99"/>
      <c r="L98" s="99"/>
      <c r="M98" s="99"/>
      <c r="N98" s="99"/>
      <c r="O98" s="99"/>
      <c r="P98" s="99"/>
      <c r="Q98" s="99"/>
      <c r="R98" s="99"/>
      <c r="S98" s="99"/>
      <c r="T98" s="99"/>
      <c r="U98" s="99"/>
      <c r="V98" s="99"/>
      <c r="W98" s="99"/>
      <c r="X98" s="99"/>
      <c r="Y98" s="99"/>
    </row>
    <row r="99" spans="1:25">
      <c r="A99" s="99"/>
      <c r="B99" s="99"/>
      <c r="C99" s="99"/>
      <c r="D99" s="99"/>
      <c r="E99" s="99"/>
      <c r="F99" s="99"/>
      <c r="G99" s="99"/>
      <c r="H99" s="99"/>
      <c r="I99" s="99"/>
      <c r="J99" s="99"/>
      <c r="K99" s="99"/>
      <c r="L99" s="99"/>
      <c r="M99" s="99"/>
      <c r="N99" s="99"/>
      <c r="O99" s="99"/>
      <c r="P99" s="99"/>
      <c r="Q99" s="99"/>
      <c r="R99" s="99"/>
      <c r="S99" s="99"/>
      <c r="T99" s="99"/>
      <c r="U99" s="99"/>
      <c r="V99" s="99"/>
      <c r="W99" s="99"/>
      <c r="X99" s="99"/>
      <c r="Y99" s="99"/>
    </row>
    <row r="100" spans="1:25">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row>
    <row r="101" spans="1:25">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row>
    <row r="102" spans="1:25">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row>
    <row r="103" spans="1:25">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row>
    <row r="104" spans="1:25">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row>
    <row r="105" spans="1:25">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row>
    <row r="106" spans="1:25">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row>
    <row r="107" spans="1:25">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row>
    <row r="108" spans="1:25">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row>
    <row r="109" spans="1:25">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row>
    <row r="110" spans="1:25">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row>
    <row r="111" spans="1:25">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row>
    <row r="112" spans="1:25">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row>
    <row r="113" spans="1:25">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row>
    <row r="114" spans="1:25">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row>
    <row r="115" spans="1:25">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row>
    <row r="116" spans="1:25">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row>
    <row r="117" spans="1:25">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row>
    <row r="118" spans="1:25">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row>
    <row r="119" spans="1:25">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row>
    <row r="120" spans="1:25">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row>
    <row r="121" spans="1:25">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row>
    <row r="122" spans="1:25">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row>
    <row r="123" spans="1:25">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row>
    <row r="124" spans="1:25">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row>
    <row r="125" spans="1:25">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row>
    <row r="126" spans="1:25">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row>
    <row r="127" spans="1:25">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row>
    <row r="128" spans="1:25">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row>
    <row r="129" spans="1:25">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row>
    <row r="130" spans="1:25">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row>
    <row r="131" spans="1:25">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row>
    <row r="132" spans="1:25">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row>
    <row r="133" spans="1:25">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row>
    <row r="134" spans="1:25">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row>
    <row r="135" spans="1:25">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row>
    <row r="136" spans="1:25">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row>
    <row r="137" spans="1:25">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row>
    <row r="138" spans="1:25">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row>
    <row r="139" spans="1:25">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row>
    <row r="140" spans="1:25">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row>
    <row r="141" spans="1:25">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row>
    <row r="142" spans="1:25">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row>
    <row r="143" spans="1:25">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row>
    <row r="144" spans="1:25">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row>
    <row r="145" spans="1:25">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row>
    <row r="146" spans="1:25">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row>
    <row r="147" spans="1:25">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row>
    <row r="148" spans="1:25">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row>
    <row r="149" spans="1:25">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row>
    <row r="150" spans="1:25">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row>
    <row r="151" spans="1:25">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row>
    <row r="152" spans="1:25">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row>
    <row r="153" spans="1:25">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row>
    <row r="154" spans="1:25">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row>
    <row r="155" spans="1:25">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row>
    <row r="156" spans="1:25">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row>
    <row r="157" spans="1:25">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row>
    <row r="158" spans="1:25">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row>
    <row r="159" spans="1:25">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row>
    <row r="160" spans="1:25">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row>
    <row r="161" spans="1:25">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row>
    <row r="162" spans="1:25">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row>
    <row r="163" spans="1:25">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row>
    <row r="164" spans="1:25">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row>
    <row r="165" spans="1:25">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row>
    <row r="166" spans="1:25">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row>
    <row r="167" spans="1:25">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row>
    <row r="168" spans="1:25">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row>
    <row r="169" spans="1:25">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row>
    <row r="170" spans="1:25">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row>
    <row r="171" spans="1:25">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row>
    <row r="172" spans="1:25">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row>
    <row r="173" spans="1:25">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row>
    <row r="174" spans="1:25">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row>
    <row r="175" spans="1:25">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row>
    <row r="176" spans="1:25">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row>
    <row r="177" spans="1:25">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row>
    <row r="178" spans="1:25">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row>
    <row r="179" spans="1:25">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row>
    <row r="180" spans="1:25">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row>
    <row r="181" spans="1:25">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row>
    <row r="182" spans="1:25">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row>
    <row r="183" spans="1:25">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row>
    <row r="184" spans="1:25">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row>
    <row r="185" spans="1:25">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row>
    <row r="186" spans="1:25">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row>
    <row r="187" spans="1:25">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row>
    <row r="188" spans="1:25">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row>
    <row r="189" spans="1:25">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row>
    <row r="190" spans="1:25">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row>
    <row r="191" spans="1:25">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row>
    <row r="192" spans="1:25">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row>
    <row r="193" spans="1:25">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row>
    <row r="194" spans="1:25">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row>
    <row r="195" spans="1:25">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row>
    <row r="196" spans="1:25">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row>
    <row r="197" spans="1:25">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row>
    <row r="198" spans="1:25">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row>
    <row r="199" spans="1:25">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row>
    <row r="200" spans="1:25">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row>
    <row r="201" spans="1:25">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row>
    <row r="202" spans="1:25">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row>
    <row r="203" spans="1:25">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row>
    <row r="204" spans="1:25">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row>
    <row r="205" spans="1:25">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row>
    <row r="206" spans="1:25">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row>
    <row r="207" spans="1:25">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row>
    <row r="208" spans="1:25">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row>
    <row r="209" spans="1:25">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row>
    <row r="210" spans="1:25">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row>
    <row r="211" spans="1:25">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row>
    <row r="212" spans="1:25">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row>
    <row r="213" spans="1:25">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row>
    <row r="214" spans="1:25">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row>
    <row r="215" spans="1:25">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row>
    <row r="216" spans="1:25">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row>
    <row r="217" spans="1:25">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row>
    <row r="218" spans="1:25">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row>
    <row r="219" spans="1:25">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row>
    <row r="220" spans="1:25">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row>
    <row r="221" spans="1:25">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row>
    <row r="222" spans="1:25">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row>
    <row r="223" spans="1:25">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row>
    <row r="224" spans="1:25">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row>
    <row r="225" spans="1:25">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row>
    <row r="226" spans="1:25">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row>
    <row r="227" spans="1:25">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row>
    <row r="228" spans="1:25">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row>
    <row r="229" spans="1:25">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row>
    <row r="230" spans="1:25">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row>
    <row r="231" spans="1:25">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row>
    <row r="232" spans="1:25">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row>
    <row r="233" spans="1:25">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row>
    <row r="234" spans="1:25">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row>
    <row r="235" spans="1:25">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row>
    <row r="236" spans="1:25">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row>
    <row r="237" spans="1:25">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row>
    <row r="238" spans="1:25">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row>
    <row r="239" spans="1:25">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row>
    <row r="240" spans="1:25">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row>
    <row r="241" spans="1:25">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row>
    <row r="242" spans="1:25">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row>
    <row r="243" spans="1:25">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row>
    <row r="244" spans="1:25">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row>
    <row r="245" spans="1:25">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row>
    <row r="246" spans="1:25">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row>
    <row r="247" spans="1:25">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row>
    <row r="248" spans="1:25">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row>
    <row r="249" spans="1:25">
      <c r="A249" s="99"/>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row>
    <row r="250" spans="1:25">
      <c r="A250" s="99"/>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row>
    <row r="251" spans="1:25">
      <c r="A251" s="99"/>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row>
    <row r="252" spans="1:25">
      <c r="A252" s="99"/>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row>
    <row r="253" spans="1:25">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row>
  </sheetData>
  <sheetProtection algorithmName="SHA-512" hashValue="hIxlcEC9f0Rw24tfFLcyUMcp3INmX6uy4u4v1QJ36b2xW26M6GOrk7xEmOrrsdyY5KZ+3xIW8PJwL4n8JMcFKw==" saltValue="NrsVHCOABay5kNSE0SrERA==" spinCount="100000" sheet="1" objects="1" scenarios="1"/>
  <mergeCells count="2">
    <mergeCell ref="B2:E2"/>
    <mergeCell ref="B4:M14"/>
  </mergeCells>
  <pageMargins left="0.70866141732283472" right="0.70866141732283472" top="0.78740157480314965" bottom="0.78740157480314965" header="0.31496062992125984" footer="0.31496062992125984"/>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EE80F-B541-4F63-9AE9-5CC46E976FE2}">
  <sheetPr codeName="Tabelle4">
    <tabColor rgb="FFFFFF00"/>
    <pageSetUpPr fitToPage="1"/>
  </sheetPr>
  <dimension ref="A1:Q67"/>
  <sheetViews>
    <sheetView showGridLines="0" workbookViewId="0"/>
  </sheetViews>
  <sheetFormatPr baseColWidth="10" defaultColWidth="10.7265625" defaultRowHeight="12.5"/>
  <cols>
    <col min="1" max="1" width="5.81640625" customWidth="1"/>
    <col min="2" max="2" width="75.7265625" bestFit="1" customWidth="1"/>
    <col min="3" max="3" width="30.54296875" customWidth="1"/>
    <col min="4" max="4" width="30" customWidth="1"/>
    <col min="6" max="6" width="29" bestFit="1" customWidth="1"/>
  </cols>
  <sheetData>
    <row r="1" spans="1:17">
      <c r="A1" s="99"/>
      <c r="B1" s="99"/>
      <c r="C1" s="99"/>
      <c r="D1" s="99"/>
      <c r="E1" s="99"/>
      <c r="F1" s="99"/>
      <c r="G1" s="99"/>
      <c r="H1" s="99"/>
      <c r="I1" s="99"/>
      <c r="J1" s="99"/>
      <c r="K1" s="99"/>
      <c r="L1" s="99"/>
      <c r="M1" s="99"/>
      <c r="N1" s="99"/>
      <c r="O1" s="99"/>
      <c r="P1" s="99"/>
      <c r="Q1" s="99"/>
    </row>
    <row r="2" spans="1:17" ht="15.5">
      <c r="A2" s="99"/>
      <c r="B2" s="69" t="s">
        <v>384</v>
      </c>
      <c r="C2" s="116" t="s">
        <v>213</v>
      </c>
      <c r="D2" s="99"/>
      <c r="E2" s="99"/>
      <c r="F2" s="99"/>
      <c r="G2" s="99"/>
      <c r="H2" s="99"/>
      <c r="I2" s="99"/>
      <c r="J2" s="99"/>
      <c r="K2" s="99"/>
      <c r="L2" s="99"/>
      <c r="M2" s="99"/>
      <c r="N2" s="99"/>
      <c r="O2" s="99"/>
      <c r="P2" s="99"/>
      <c r="Q2" s="99"/>
    </row>
    <row r="3" spans="1:17" ht="13" thickBot="1">
      <c r="A3" s="99"/>
      <c r="B3" s="99"/>
      <c r="C3" s="99"/>
      <c r="D3" s="99"/>
      <c r="E3" s="99"/>
      <c r="F3" s="116"/>
      <c r="G3" s="126"/>
      <c r="H3" s="126"/>
      <c r="I3" s="126"/>
      <c r="J3" s="126"/>
      <c r="K3" s="126"/>
      <c r="L3" s="126"/>
      <c r="M3" s="126"/>
      <c r="N3" s="126"/>
      <c r="O3" s="99"/>
      <c r="P3" s="99"/>
      <c r="Q3" s="99"/>
    </row>
    <row r="4" spans="1:17" ht="16" thickBot="1">
      <c r="A4" s="99"/>
      <c r="B4" s="15"/>
      <c r="C4" s="16" t="s">
        <v>171</v>
      </c>
      <c r="D4" s="33" t="s">
        <v>172</v>
      </c>
      <c r="E4" s="99"/>
      <c r="F4" s="130" t="s">
        <v>226</v>
      </c>
      <c r="G4" s="126"/>
      <c r="H4" s="126"/>
      <c r="I4" s="126"/>
      <c r="J4" s="126"/>
      <c r="K4" s="126"/>
      <c r="L4" s="126"/>
      <c r="M4" s="126"/>
      <c r="N4" s="126"/>
      <c r="O4" s="99"/>
    </row>
    <row r="5" spans="1:17" ht="16" thickBot="1">
      <c r="A5" s="99"/>
      <c r="B5" s="282" t="s">
        <v>242</v>
      </c>
      <c r="C5" s="440"/>
      <c r="D5" s="441"/>
      <c r="E5" s="99"/>
      <c r="F5" s="127" t="s">
        <v>228</v>
      </c>
      <c r="G5" s="126"/>
      <c r="H5" s="126"/>
      <c r="I5" s="126"/>
      <c r="J5" s="126"/>
      <c r="K5" s="126"/>
      <c r="L5" s="126"/>
      <c r="M5" s="126"/>
      <c r="N5" s="126"/>
      <c r="O5" s="99"/>
    </row>
    <row r="6" spans="1:17" ht="16" thickBot="1">
      <c r="A6" s="99"/>
      <c r="B6" s="119"/>
      <c r="C6" s="286"/>
      <c r="D6" s="286"/>
      <c r="E6" s="99"/>
      <c r="F6" s="128" t="s">
        <v>229</v>
      </c>
      <c r="G6" s="126"/>
      <c r="H6" s="126"/>
      <c r="I6" s="126"/>
      <c r="J6" s="126"/>
      <c r="K6" s="126"/>
      <c r="L6" s="126"/>
      <c r="M6" s="126"/>
      <c r="N6" s="126"/>
      <c r="O6" s="99"/>
    </row>
    <row r="7" spans="1:17" ht="16" thickBot="1">
      <c r="A7" s="99"/>
      <c r="B7" s="53" t="s">
        <v>164</v>
      </c>
      <c r="C7" s="56"/>
      <c r="D7" s="57"/>
      <c r="E7" s="99"/>
      <c r="F7" s="127" t="s">
        <v>386</v>
      </c>
      <c r="G7" s="126"/>
      <c r="H7" s="126"/>
      <c r="I7" s="126"/>
      <c r="J7" s="126"/>
      <c r="K7" s="126"/>
      <c r="L7" s="126"/>
      <c r="M7" s="126"/>
      <c r="N7" s="126"/>
      <c r="O7" s="99"/>
    </row>
    <row r="8" spans="1:17" ht="15.5">
      <c r="A8" s="99"/>
      <c r="B8" s="284" t="s">
        <v>326</v>
      </c>
      <c r="C8" s="442">
        <v>0</v>
      </c>
      <c r="D8" s="443"/>
      <c r="E8" s="99"/>
      <c r="F8" s="127" t="s">
        <v>276</v>
      </c>
      <c r="G8" s="126"/>
      <c r="H8" s="126"/>
      <c r="I8" s="126"/>
      <c r="J8" s="126"/>
      <c r="K8" s="126"/>
      <c r="L8" s="126"/>
      <c r="M8" s="126"/>
      <c r="N8" s="126"/>
      <c r="O8" s="99"/>
    </row>
    <row r="9" spans="1:17" ht="16" thickBot="1">
      <c r="A9" s="99"/>
      <c r="B9" s="283" t="s">
        <v>327</v>
      </c>
      <c r="C9" s="444">
        <v>0</v>
      </c>
      <c r="D9" s="445"/>
      <c r="E9" s="99"/>
      <c r="F9" s="127" t="s">
        <v>292</v>
      </c>
      <c r="G9" s="126"/>
      <c r="H9" s="126"/>
      <c r="I9" s="126"/>
      <c r="J9" s="126"/>
      <c r="K9" s="126"/>
      <c r="L9" s="126"/>
      <c r="M9" s="126"/>
      <c r="N9" s="126"/>
      <c r="O9" s="99"/>
    </row>
    <row r="10" spans="1:17" ht="16" thickBot="1">
      <c r="A10" s="99"/>
      <c r="B10" s="119"/>
      <c r="C10" s="287"/>
      <c r="D10" s="287"/>
      <c r="E10" s="99"/>
      <c r="F10" s="127" t="s">
        <v>293</v>
      </c>
      <c r="G10" s="126"/>
      <c r="H10" s="126"/>
      <c r="I10" s="126"/>
      <c r="J10" s="126"/>
      <c r="K10" s="126"/>
      <c r="L10" s="126"/>
      <c r="M10" s="126"/>
      <c r="N10" s="126"/>
      <c r="O10" s="99"/>
    </row>
    <row r="11" spans="1:17" ht="16" thickBot="1">
      <c r="B11" s="53" t="s">
        <v>165</v>
      </c>
      <c r="C11" s="56"/>
      <c r="D11" s="57"/>
      <c r="E11" s="99"/>
      <c r="F11" s="131" t="s">
        <v>387</v>
      </c>
      <c r="G11" s="126"/>
      <c r="H11" s="126"/>
      <c r="I11" s="126"/>
      <c r="J11" s="126"/>
      <c r="K11" s="126"/>
      <c r="L11" s="126"/>
      <c r="M11" s="126"/>
      <c r="N11" s="126"/>
      <c r="O11" s="99"/>
    </row>
    <row r="12" spans="1:17" ht="15.5">
      <c r="A12" s="99"/>
      <c r="B12" s="118" t="s">
        <v>322</v>
      </c>
      <c r="C12" s="442">
        <v>0</v>
      </c>
      <c r="D12" s="446"/>
      <c r="E12" s="99"/>
      <c r="F12" s="127" t="s">
        <v>230</v>
      </c>
      <c r="G12" s="126"/>
      <c r="H12" s="126"/>
      <c r="I12" s="126"/>
      <c r="J12" s="126"/>
      <c r="K12" s="126"/>
      <c r="L12" s="126"/>
      <c r="M12" s="126"/>
      <c r="N12" s="126"/>
      <c r="O12" s="126"/>
    </row>
    <row r="13" spans="1:17" ht="15.5">
      <c r="A13" s="99"/>
      <c r="B13" s="118" t="s">
        <v>300</v>
      </c>
      <c r="C13" s="442">
        <v>0</v>
      </c>
      <c r="D13" s="446"/>
      <c r="E13" s="99"/>
      <c r="F13" s="128" t="s">
        <v>233</v>
      </c>
      <c r="G13" s="126"/>
      <c r="H13" s="126"/>
      <c r="I13" s="126"/>
      <c r="J13" s="126"/>
      <c r="K13" s="126"/>
      <c r="L13" s="126"/>
      <c r="M13" s="126"/>
      <c r="N13" s="126"/>
      <c r="O13" s="126"/>
    </row>
    <row r="14" spans="1:17" ht="15.5">
      <c r="A14" s="99"/>
      <c r="B14" s="118" t="s">
        <v>298</v>
      </c>
      <c r="C14" s="442">
        <v>0</v>
      </c>
      <c r="D14" s="446"/>
      <c r="E14" s="99"/>
      <c r="G14" s="126"/>
      <c r="H14" s="126"/>
      <c r="I14" s="126"/>
      <c r="J14" s="126"/>
      <c r="K14" s="126"/>
      <c r="L14" s="126"/>
      <c r="M14" s="126"/>
      <c r="N14" s="126"/>
      <c r="O14" s="126"/>
    </row>
    <row r="15" spans="1:17" ht="15.5">
      <c r="A15" s="99"/>
      <c r="B15" s="118" t="s">
        <v>299</v>
      </c>
      <c r="C15" s="442">
        <v>0</v>
      </c>
      <c r="D15" s="446"/>
      <c r="E15" s="99"/>
      <c r="F15" s="130" t="s">
        <v>227</v>
      </c>
      <c r="G15" s="126"/>
      <c r="H15" s="126"/>
      <c r="I15" s="126"/>
      <c r="J15" s="126"/>
      <c r="K15" s="126"/>
      <c r="L15" s="126"/>
      <c r="M15" s="126"/>
      <c r="N15" s="126"/>
      <c r="O15" s="126"/>
    </row>
    <row r="16" spans="1:17" ht="16" thickBot="1">
      <c r="A16" s="99"/>
      <c r="B16" s="54" t="s">
        <v>314</v>
      </c>
      <c r="C16" s="447">
        <v>0</v>
      </c>
      <c r="D16" s="448"/>
      <c r="E16" s="99"/>
      <c r="F16" s="127" t="s">
        <v>231</v>
      </c>
      <c r="G16" s="126"/>
      <c r="H16" s="126"/>
      <c r="I16" s="126"/>
      <c r="J16" s="126"/>
      <c r="K16" s="126"/>
      <c r="L16" s="126"/>
      <c r="M16" s="126"/>
      <c r="N16" s="126"/>
      <c r="O16" s="126"/>
    </row>
    <row r="17" spans="1:15" ht="16" thickBot="1">
      <c r="A17" s="99"/>
      <c r="B17" s="119"/>
      <c r="C17" s="287"/>
      <c r="D17" s="287"/>
      <c r="E17" s="99"/>
      <c r="F17" s="128" t="s">
        <v>232</v>
      </c>
      <c r="G17" s="126"/>
      <c r="H17" s="126"/>
      <c r="I17" s="126"/>
      <c r="J17" s="126"/>
      <c r="K17" s="126"/>
      <c r="L17" s="126"/>
      <c r="M17" s="126"/>
      <c r="N17" s="126"/>
      <c r="O17" s="126"/>
    </row>
    <row r="18" spans="1:15" ht="16" thickBot="1">
      <c r="A18" s="99"/>
      <c r="B18" s="53" t="s">
        <v>304</v>
      </c>
      <c r="C18" s="56"/>
      <c r="D18" s="57"/>
      <c r="E18" s="99"/>
      <c r="G18" s="126"/>
      <c r="H18" s="126"/>
      <c r="I18" s="126"/>
      <c r="J18" s="126"/>
      <c r="K18" s="126"/>
      <c r="L18" s="126"/>
      <c r="M18" s="126"/>
      <c r="N18" s="126"/>
      <c r="O18" s="126"/>
    </row>
    <row r="19" spans="1:15" ht="16" thickBot="1">
      <c r="A19" s="99"/>
      <c r="B19" s="283" t="s">
        <v>323</v>
      </c>
      <c r="C19" s="444">
        <v>0</v>
      </c>
      <c r="D19" s="445"/>
      <c r="E19" s="99"/>
      <c r="F19" s="130" t="s">
        <v>235</v>
      </c>
      <c r="G19" s="126"/>
      <c r="H19" s="126"/>
      <c r="I19" s="129">
        <f>C25+D25</f>
        <v>0</v>
      </c>
      <c r="J19" s="129">
        <f>I19-I19-I19</f>
        <v>0</v>
      </c>
      <c r="K19" s="126"/>
      <c r="L19" s="126"/>
      <c r="M19" s="126"/>
      <c r="N19" s="126"/>
      <c r="O19" s="126"/>
    </row>
    <row r="20" spans="1:15" ht="16" thickBot="1">
      <c r="A20" s="99"/>
      <c r="B20" s="119"/>
      <c r="C20" s="287"/>
      <c r="D20" s="287"/>
      <c r="E20" s="99"/>
      <c r="F20" s="128" t="s">
        <v>225</v>
      </c>
      <c r="G20" s="126"/>
      <c r="H20" s="126"/>
      <c r="I20" s="129"/>
      <c r="J20" s="129"/>
      <c r="K20" s="126"/>
      <c r="L20" s="126"/>
      <c r="M20" s="126"/>
      <c r="N20" s="126"/>
      <c r="O20" s="126"/>
    </row>
    <row r="21" spans="1:15" ht="16" thickBot="1">
      <c r="A21" s="99"/>
      <c r="B21" s="53" t="s">
        <v>303</v>
      </c>
      <c r="C21" s="56"/>
      <c r="D21" s="57"/>
      <c r="E21" s="99"/>
      <c r="F21" s="128" t="s">
        <v>180</v>
      </c>
      <c r="G21" s="126"/>
      <c r="H21" s="126"/>
      <c r="I21" s="129"/>
      <c r="J21" s="129"/>
      <c r="K21" s="126"/>
      <c r="L21" s="126"/>
      <c r="M21" s="126"/>
      <c r="N21" s="126"/>
      <c r="O21" s="126"/>
    </row>
    <row r="22" spans="1:15" ht="16" thickBot="1">
      <c r="A22" s="99"/>
      <c r="B22" s="282" t="s">
        <v>302</v>
      </c>
      <c r="C22" s="449">
        <v>0</v>
      </c>
      <c r="D22" s="450"/>
      <c r="E22" s="116"/>
      <c r="F22" s="128" t="s">
        <v>234</v>
      </c>
      <c r="G22" s="116"/>
      <c r="H22" s="116"/>
      <c r="I22" s="116"/>
      <c r="J22" s="116"/>
      <c r="K22" s="116"/>
      <c r="L22" s="116"/>
      <c r="M22" s="116"/>
      <c r="N22" s="126"/>
      <c r="O22" s="126"/>
    </row>
    <row r="23" spans="1:15" ht="16" thickBot="1">
      <c r="A23" s="99"/>
      <c r="B23" s="119"/>
      <c r="C23" s="287"/>
      <c r="D23" s="287"/>
      <c r="E23" s="116"/>
      <c r="F23" s="535"/>
      <c r="G23" s="116"/>
      <c r="H23" s="116"/>
      <c r="I23" s="116"/>
      <c r="J23" s="116"/>
      <c r="K23" s="116"/>
      <c r="L23" s="116"/>
      <c r="M23" s="116"/>
      <c r="N23" s="126"/>
      <c r="O23" s="126"/>
    </row>
    <row r="24" spans="1:15" ht="16" thickBot="1">
      <c r="A24" s="99"/>
      <c r="B24" s="53" t="s">
        <v>315</v>
      </c>
      <c r="C24" s="56"/>
      <c r="D24" s="57"/>
      <c r="E24" s="116"/>
      <c r="F24" s="535"/>
      <c r="G24" s="116"/>
      <c r="H24" s="116"/>
      <c r="I24" s="116"/>
      <c r="J24" s="116"/>
      <c r="K24" s="116"/>
      <c r="L24" s="116"/>
      <c r="M24" s="116"/>
      <c r="N24" s="126"/>
      <c r="O24" s="126"/>
    </row>
    <row r="25" spans="1:15" ht="16" thickBot="1">
      <c r="A25" s="99"/>
      <c r="B25" s="282" t="s">
        <v>313</v>
      </c>
      <c r="C25" s="449">
        <v>0</v>
      </c>
      <c r="D25" s="450"/>
      <c r="E25" s="116"/>
      <c r="F25" s="116"/>
      <c r="G25" s="116"/>
      <c r="H25" s="116"/>
      <c r="I25" s="116"/>
      <c r="J25" s="116"/>
      <c r="K25" s="116"/>
      <c r="L25" s="116"/>
      <c r="M25" s="116"/>
      <c r="N25" s="126"/>
      <c r="O25" s="126"/>
    </row>
    <row r="26" spans="1:15" ht="16" thickBot="1">
      <c r="A26" s="99"/>
      <c r="B26" s="119"/>
      <c r="C26" s="287"/>
      <c r="D26" s="287"/>
      <c r="E26" s="116"/>
      <c r="F26" s="535"/>
      <c r="G26" s="116"/>
      <c r="H26" s="116"/>
      <c r="I26" s="116"/>
      <c r="J26" s="116"/>
      <c r="K26" s="116"/>
      <c r="L26" s="116"/>
      <c r="M26" s="116"/>
      <c r="N26" s="126"/>
      <c r="O26" s="126"/>
    </row>
    <row r="27" spans="1:15" ht="16" thickBot="1">
      <c r="A27" s="99"/>
      <c r="B27" s="53" t="s">
        <v>316</v>
      </c>
      <c r="C27" s="56"/>
      <c r="D27" s="57"/>
      <c r="E27" s="116"/>
      <c r="F27" s="116"/>
      <c r="G27" s="116"/>
      <c r="H27" s="116"/>
      <c r="I27" s="116"/>
      <c r="J27" s="116"/>
      <c r="K27" s="116"/>
      <c r="L27" s="116"/>
      <c r="M27" s="116"/>
      <c r="N27" s="126"/>
      <c r="O27" s="126"/>
    </row>
    <row r="28" spans="1:15" ht="16" thickBot="1">
      <c r="A28" s="99"/>
      <c r="B28" s="282" t="s">
        <v>305</v>
      </c>
      <c r="C28" s="449">
        <v>0</v>
      </c>
      <c r="D28" s="450"/>
      <c r="E28" s="116"/>
      <c r="F28" s="116"/>
      <c r="G28" s="116"/>
      <c r="H28" s="116"/>
      <c r="I28" s="116"/>
      <c r="J28" s="116"/>
      <c r="K28" s="116"/>
      <c r="L28" s="116"/>
      <c r="M28" s="116"/>
      <c r="N28" s="126"/>
      <c r="O28" s="126"/>
    </row>
    <row r="29" spans="1:15" ht="16" thickBot="1">
      <c r="A29" s="99"/>
      <c r="B29" s="119"/>
      <c r="C29" s="287"/>
      <c r="D29" s="287"/>
      <c r="E29" s="116"/>
      <c r="F29" s="116"/>
      <c r="G29" s="116"/>
      <c r="H29" s="116"/>
      <c r="I29" s="116"/>
      <c r="J29" s="116"/>
      <c r="K29" s="116"/>
      <c r="L29" s="116"/>
      <c r="M29" s="116"/>
      <c r="N29" s="126"/>
      <c r="O29" s="126"/>
    </row>
    <row r="30" spans="1:15" ht="16" thickBot="1">
      <c r="A30" s="99"/>
      <c r="B30" s="53" t="s">
        <v>301</v>
      </c>
      <c r="C30" s="56"/>
      <c r="D30" s="57"/>
      <c r="E30" s="116"/>
      <c r="F30" s="116"/>
      <c r="G30" s="116"/>
      <c r="H30" s="116"/>
      <c r="I30" s="116"/>
      <c r="J30" s="116"/>
      <c r="K30" s="116"/>
      <c r="L30" s="116"/>
      <c r="M30" s="116"/>
      <c r="N30" s="126"/>
      <c r="O30" s="126"/>
    </row>
    <row r="31" spans="1:15" ht="15.5">
      <c r="A31" s="99"/>
      <c r="B31" s="285" t="s">
        <v>317</v>
      </c>
      <c r="C31" s="451">
        <v>0</v>
      </c>
      <c r="D31" s="452"/>
      <c r="E31" s="116"/>
      <c r="F31" s="535"/>
      <c r="G31" s="116"/>
      <c r="H31" s="116"/>
      <c r="I31" s="116"/>
      <c r="J31" s="116"/>
      <c r="K31" s="116"/>
      <c r="L31" s="116"/>
      <c r="M31" s="116"/>
      <c r="N31" s="126"/>
      <c r="O31" s="126"/>
    </row>
    <row r="32" spans="1:15" ht="15.5">
      <c r="A32" s="99"/>
      <c r="B32" s="240" t="s">
        <v>306</v>
      </c>
      <c r="C32" s="442">
        <v>0</v>
      </c>
      <c r="D32" s="443"/>
      <c r="E32" s="116"/>
      <c r="F32" s="116"/>
      <c r="G32" s="116"/>
      <c r="H32" s="116"/>
      <c r="I32" s="116"/>
      <c r="J32" s="116"/>
      <c r="K32" s="116"/>
      <c r="L32" s="116"/>
      <c r="M32" s="116"/>
      <c r="N32" s="126"/>
      <c r="O32" s="126"/>
    </row>
    <row r="33" spans="1:16" ht="15.5">
      <c r="A33" s="99"/>
      <c r="B33" s="240" t="s">
        <v>307</v>
      </c>
      <c r="C33" s="442">
        <v>0</v>
      </c>
      <c r="D33" s="443"/>
      <c r="E33" s="116"/>
      <c r="F33" s="116"/>
      <c r="G33" s="116"/>
      <c r="H33" s="116"/>
      <c r="I33" s="116"/>
      <c r="J33" s="116"/>
      <c r="K33" s="116"/>
      <c r="L33" s="116"/>
      <c r="M33" s="116"/>
      <c r="N33" s="126"/>
      <c r="O33" s="126"/>
    </row>
    <row r="34" spans="1:16" ht="15.5">
      <c r="A34" s="99"/>
      <c r="B34" s="240" t="s">
        <v>308</v>
      </c>
      <c r="C34" s="442">
        <v>0</v>
      </c>
      <c r="D34" s="443"/>
      <c r="E34" s="116"/>
      <c r="F34" s="116"/>
      <c r="G34" s="116"/>
      <c r="H34" s="116"/>
      <c r="I34" s="116"/>
      <c r="J34" s="116"/>
      <c r="K34" s="116"/>
      <c r="L34" s="116"/>
      <c r="M34" s="116"/>
      <c r="N34" s="126"/>
      <c r="O34" s="126"/>
    </row>
    <row r="35" spans="1:16" ht="15.5">
      <c r="A35" s="99"/>
      <c r="B35" s="240" t="s">
        <v>329</v>
      </c>
      <c r="C35" s="442">
        <v>0</v>
      </c>
      <c r="D35" s="443"/>
      <c r="E35" s="116"/>
      <c r="F35" s="116"/>
      <c r="G35" s="116"/>
      <c r="H35" s="116"/>
      <c r="I35" s="116"/>
      <c r="J35" s="116"/>
      <c r="K35" s="116"/>
      <c r="L35" s="116"/>
      <c r="M35" s="116"/>
      <c r="N35" s="126"/>
      <c r="O35" s="126"/>
    </row>
    <row r="36" spans="1:16" ht="16" thickBot="1">
      <c r="A36" s="99"/>
      <c r="B36" s="283" t="s">
        <v>176</v>
      </c>
      <c r="C36" s="453">
        <v>0</v>
      </c>
      <c r="D36" s="454"/>
      <c r="E36" s="116"/>
      <c r="F36" s="116"/>
      <c r="G36" s="116"/>
      <c r="H36" s="116"/>
      <c r="I36" s="116"/>
      <c r="J36" s="116"/>
      <c r="K36" s="116"/>
      <c r="L36" s="116"/>
      <c r="M36" s="116"/>
      <c r="N36" s="126"/>
      <c r="O36" s="126"/>
    </row>
    <row r="37" spans="1:16" ht="16" thickBot="1">
      <c r="A37" s="99"/>
      <c r="B37" s="119"/>
      <c r="C37" s="119"/>
      <c r="D37" s="119"/>
      <c r="E37" s="116"/>
      <c r="F37" s="116"/>
      <c r="G37" s="116"/>
      <c r="H37" s="116"/>
      <c r="I37" s="116"/>
      <c r="J37" s="116"/>
      <c r="K37" s="116"/>
      <c r="L37" s="116"/>
      <c r="M37" s="116"/>
      <c r="N37" s="126"/>
      <c r="O37" s="126"/>
    </row>
    <row r="38" spans="1:16" ht="16" thickBot="1">
      <c r="A38" s="99"/>
      <c r="B38" s="53" t="s">
        <v>320</v>
      </c>
      <c r="C38" s="56"/>
      <c r="D38" s="57"/>
      <c r="E38" s="116"/>
      <c r="F38" s="116"/>
      <c r="G38" s="116"/>
      <c r="H38" s="116"/>
      <c r="I38" s="116"/>
      <c r="J38" s="116"/>
      <c r="K38" s="116"/>
      <c r="L38" s="116"/>
      <c r="M38" s="116"/>
      <c r="N38" s="126"/>
      <c r="O38" s="126"/>
    </row>
    <row r="39" spans="1:16" ht="16" thickBot="1">
      <c r="A39" s="99"/>
      <c r="B39" s="120" t="s">
        <v>318</v>
      </c>
      <c r="C39" s="455">
        <v>4</v>
      </c>
      <c r="D39" s="456">
        <v>4</v>
      </c>
      <c r="E39" s="116"/>
      <c r="F39" s="116"/>
      <c r="G39" s="116"/>
      <c r="H39" s="116"/>
      <c r="I39" s="116"/>
      <c r="J39" s="116"/>
      <c r="K39" s="116"/>
      <c r="L39" s="116"/>
      <c r="M39" s="116"/>
      <c r="N39" s="126"/>
      <c r="O39" s="126"/>
      <c r="P39" s="87"/>
    </row>
    <row r="40" spans="1:16" ht="16" thickBot="1">
      <c r="A40" s="99"/>
      <c r="B40" s="119"/>
      <c r="C40" s="119"/>
      <c r="D40" s="119"/>
      <c r="E40" s="116"/>
      <c r="F40" s="116"/>
      <c r="G40" s="116"/>
      <c r="H40" s="116"/>
      <c r="I40" s="116"/>
      <c r="J40" s="116"/>
      <c r="K40" s="116"/>
      <c r="L40" s="116"/>
      <c r="M40" s="116"/>
      <c r="N40" s="126"/>
      <c r="O40" s="126"/>
      <c r="P40" s="87"/>
    </row>
    <row r="41" spans="1:16" ht="16" thickBot="1">
      <c r="A41" s="99"/>
      <c r="B41" s="53" t="s">
        <v>309</v>
      </c>
      <c r="C41" s="56"/>
      <c r="D41" s="57"/>
      <c r="E41" s="116"/>
      <c r="F41" s="116"/>
      <c r="G41" s="116"/>
      <c r="H41" s="116"/>
      <c r="I41" s="116"/>
      <c r="J41" s="116"/>
      <c r="K41" s="116"/>
      <c r="L41" s="116"/>
      <c r="M41" s="116"/>
      <c r="N41" s="126"/>
      <c r="O41" s="126"/>
      <c r="P41" s="87"/>
    </row>
    <row r="42" spans="1:16" ht="16" thickBot="1">
      <c r="A42" s="99"/>
      <c r="B42" s="120" t="s">
        <v>321</v>
      </c>
      <c r="C42" s="455">
        <v>4</v>
      </c>
      <c r="D42" s="86"/>
      <c r="E42" s="116"/>
      <c r="F42" s="116"/>
      <c r="G42" s="116"/>
      <c r="H42" s="116"/>
      <c r="I42" s="116"/>
      <c r="J42" s="116"/>
      <c r="K42" s="116"/>
      <c r="L42" s="116"/>
      <c r="M42" s="116"/>
      <c r="N42" s="126"/>
      <c r="O42" s="126"/>
      <c r="P42" s="87"/>
    </row>
    <row r="43" spans="1:16" ht="16" thickBot="1">
      <c r="A43" s="99"/>
      <c r="B43" s="119"/>
      <c r="C43" s="119"/>
      <c r="D43" s="119"/>
      <c r="E43" s="116"/>
      <c r="F43" s="116"/>
      <c r="G43" s="116"/>
      <c r="H43" s="116"/>
      <c r="I43" s="116"/>
      <c r="J43" s="116"/>
      <c r="K43" s="116"/>
      <c r="L43" s="116"/>
      <c r="M43" s="116"/>
      <c r="N43" s="126"/>
      <c r="O43" s="126"/>
      <c r="P43" s="87"/>
    </row>
    <row r="44" spans="1:16" ht="16" thickBot="1">
      <c r="A44" s="99"/>
      <c r="B44" s="53" t="s">
        <v>310</v>
      </c>
      <c r="C44" s="56"/>
      <c r="D44" s="57"/>
      <c r="E44" s="116"/>
      <c r="F44" s="116"/>
      <c r="G44" s="116"/>
      <c r="H44" s="116"/>
      <c r="I44" s="116"/>
      <c r="J44" s="116"/>
      <c r="K44" s="116"/>
      <c r="L44" s="116"/>
      <c r="M44" s="116"/>
      <c r="N44" s="126"/>
      <c r="O44" s="126"/>
      <c r="P44" s="87"/>
    </row>
    <row r="45" spans="1:16" ht="16" thickBot="1">
      <c r="A45" s="99"/>
      <c r="B45" s="120" t="s">
        <v>319</v>
      </c>
      <c r="C45" s="457">
        <v>0.2</v>
      </c>
      <c r="D45" s="458">
        <v>0.2</v>
      </c>
      <c r="E45" s="116"/>
      <c r="F45" s="116"/>
      <c r="G45" s="116"/>
      <c r="H45" s="116"/>
      <c r="I45" s="116"/>
      <c r="J45" s="116"/>
      <c r="K45" s="116"/>
      <c r="L45" s="116"/>
      <c r="M45" s="116"/>
      <c r="N45" s="126"/>
      <c r="O45" s="126"/>
      <c r="P45" s="87"/>
    </row>
    <row r="46" spans="1:16" ht="16" thickBot="1">
      <c r="A46" s="99"/>
      <c r="B46" s="119"/>
      <c r="C46" s="288"/>
      <c r="D46" s="289"/>
      <c r="E46" s="116"/>
      <c r="F46" s="116"/>
      <c r="G46" s="116"/>
      <c r="H46" s="116"/>
      <c r="I46" s="116"/>
      <c r="J46" s="116"/>
      <c r="K46" s="116"/>
      <c r="L46" s="116"/>
      <c r="M46" s="116"/>
      <c r="N46" s="126"/>
      <c r="O46" s="126"/>
      <c r="P46" s="87"/>
    </row>
    <row r="47" spans="1:16" ht="16" thickBot="1">
      <c r="A47" s="99"/>
      <c r="B47" s="53" t="s">
        <v>311</v>
      </c>
      <c r="C47" s="56"/>
      <c r="D47" s="57"/>
      <c r="E47" s="126"/>
      <c r="F47" s="126"/>
      <c r="G47" s="126"/>
      <c r="H47" s="126"/>
      <c r="I47" s="126"/>
      <c r="J47" s="126"/>
      <c r="K47" s="126"/>
      <c r="L47" s="126"/>
      <c r="M47" s="126"/>
      <c r="N47" s="126"/>
      <c r="O47" s="126"/>
      <c r="P47" s="87"/>
    </row>
    <row r="48" spans="1:16" ht="15.5">
      <c r="A48" s="99"/>
      <c r="B48" s="117" t="s">
        <v>177</v>
      </c>
      <c r="C48" s="459">
        <v>1</v>
      </c>
      <c r="D48" s="121"/>
      <c r="E48" s="126"/>
      <c r="F48" s="126"/>
      <c r="G48" s="126"/>
      <c r="H48" s="126"/>
      <c r="I48" s="126"/>
      <c r="J48" s="126"/>
      <c r="K48" s="126"/>
      <c r="L48" s="126"/>
      <c r="M48" s="126"/>
      <c r="N48" s="126"/>
      <c r="O48" s="126"/>
      <c r="P48" s="87"/>
    </row>
    <row r="49" spans="1:16" ht="15.5">
      <c r="A49" s="99"/>
      <c r="B49" s="118" t="s">
        <v>178</v>
      </c>
      <c r="C49" s="460">
        <v>0</v>
      </c>
      <c r="D49" s="122"/>
      <c r="E49" s="126"/>
      <c r="F49" s="126"/>
      <c r="G49" s="126"/>
      <c r="H49" s="126"/>
      <c r="I49" s="126"/>
      <c r="J49" s="126"/>
      <c r="K49" s="126"/>
      <c r="L49" s="126"/>
      <c r="M49" s="126"/>
      <c r="N49" s="126"/>
      <c r="O49" s="126"/>
      <c r="P49" s="87"/>
    </row>
    <row r="50" spans="1:16" ht="16" thickBot="1">
      <c r="A50" s="99"/>
      <c r="B50" s="54" t="s">
        <v>238</v>
      </c>
      <c r="C50" s="461">
        <v>0</v>
      </c>
      <c r="D50" s="123"/>
      <c r="E50" s="126"/>
      <c r="F50" s="126"/>
      <c r="G50" s="126"/>
      <c r="H50" s="126"/>
      <c r="I50" s="126"/>
      <c r="J50" s="126"/>
      <c r="K50" s="126"/>
      <c r="L50" s="126"/>
      <c r="M50" s="126"/>
      <c r="N50" s="126"/>
      <c r="O50" s="126"/>
      <c r="P50" s="87"/>
    </row>
    <row r="51" spans="1:16" ht="16" thickBot="1">
      <c r="A51" s="99"/>
      <c r="B51" s="119"/>
      <c r="C51" s="119"/>
      <c r="D51" s="119"/>
      <c r="E51" s="126"/>
      <c r="F51" s="126"/>
      <c r="G51" s="126"/>
      <c r="H51" s="126"/>
      <c r="I51" s="126"/>
      <c r="J51" s="126"/>
      <c r="K51" s="126"/>
      <c r="L51" s="126"/>
      <c r="M51" s="126"/>
      <c r="N51" s="126"/>
      <c r="O51" s="126"/>
      <c r="P51" s="87"/>
    </row>
    <row r="52" spans="1:16" ht="16" thickBot="1">
      <c r="A52" s="99"/>
      <c r="B52" s="53" t="s">
        <v>312</v>
      </c>
      <c r="C52" s="56"/>
      <c r="D52" s="57"/>
      <c r="E52" s="126"/>
      <c r="F52" s="126"/>
      <c r="G52" s="126"/>
      <c r="H52" s="126"/>
      <c r="I52" s="126"/>
      <c r="J52" s="126"/>
      <c r="K52" s="126"/>
      <c r="L52" s="126"/>
      <c r="M52" s="126"/>
      <c r="N52" s="126"/>
      <c r="O52" s="126"/>
      <c r="P52" s="87"/>
    </row>
    <row r="53" spans="1:16" ht="16" thickBot="1">
      <c r="A53" s="99"/>
      <c r="B53" s="120" t="s">
        <v>383</v>
      </c>
      <c r="C53" s="455" t="s">
        <v>192</v>
      </c>
      <c r="D53" s="86"/>
      <c r="E53" s="126"/>
      <c r="F53" s="126"/>
      <c r="G53" s="126"/>
      <c r="H53" s="126"/>
      <c r="I53" s="126"/>
      <c r="J53" s="126"/>
      <c r="K53" s="126"/>
      <c r="L53" s="126"/>
      <c r="M53" s="126"/>
      <c r="N53" s="126"/>
      <c r="O53" s="126"/>
      <c r="P53" s="87"/>
    </row>
    <row r="54" spans="1:16" ht="15.5">
      <c r="A54" s="99"/>
      <c r="B54" s="124"/>
      <c r="C54" s="124"/>
      <c r="D54" s="124"/>
      <c r="E54" s="126"/>
      <c r="F54" s="126"/>
      <c r="G54" s="126"/>
      <c r="H54" s="126"/>
      <c r="I54" s="126"/>
      <c r="J54" s="126"/>
      <c r="K54" s="126"/>
      <c r="L54" s="126"/>
      <c r="M54" s="126"/>
      <c r="N54" s="126"/>
      <c r="O54" s="126"/>
      <c r="P54" s="87"/>
    </row>
    <row r="55" spans="1:16" ht="15.5">
      <c r="A55" s="99"/>
      <c r="B55" s="124"/>
      <c r="C55" s="124"/>
      <c r="E55" s="126"/>
      <c r="F55" s="126"/>
      <c r="G55" s="126"/>
      <c r="H55" s="126"/>
      <c r="I55" s="126"/>
      <c r="J55" s="126"/>
      <c r="K55" s="126"/>
      <c r="L55" s="126"/>
      <c r="M55" s="126"/>
      <c r="N55" s="126"/>
      <c r="O55" s="126"/>
      <c r="P55" s="87"/>
    </row>
    <row r="56" spans="1:16" ht="15.5">
      <c r="A56" s="99"/>
      <c r="B56" s="111" t="s">
        <v>222</v>
      </c>
      <c r="C56" s="124"/>
      <c r="D56" s="125" t="s">
        <v>221</v>
      </c>
      <c r="E56" s="126"/>
      <c r="F56" s="126"/>
      <c r="G56" s="126"/>
      <c r="H56" s="126"/>
      <c r="I56" s="126"/>
      <c r="J56" s="126"/>
      <c r="K56" s="126"/>
      <c r="L56" s="126"/>
      <c r="M56" s="126"/>
      <c r="N56" s="126"/>
      <c r="O56" s="126"/>
      <c r="P56" s="87"/>
    </row>
    <row r="57" spans="1:16" ht="15.5">
      <c r="A57" s="99"/>
      <c r="B57" s="124"/>
      <c r="C57" s="124"/>
      <c r="D57" s="124"/>
      <c r="E57" s="126"/>
      <c r="F57" s="126"/>
      <c r="G57" s="126"/>
      <c r="H57" s="126"/>
      <c r="I57" s="126"/>
      <c r="J57" s="126"/>
      <c r="K57" s="126"/>
      <c r="L57" s="126"/>
      <c r="M57" s="126"/>
      <c r="N57" s="126"/>
      <c r="O57" s="126"/>
      <c r="P57" s="87"/>
    </row>
    <row r="58" spans="1:16" ht="15.5">
      <c r="A58" s="99"/>
      <c r="B58" s="99"/>
      <c r="C58" s="99"/>
      <c r="D58" s="124"/>
      <c r="E58" s="126"/>
      <c r="F58" s="126"/>
      <c r="G58" s="126"/>
      <c r="H58" s="126"/>
      <c r="I58" s="126"/>
      <c r="J58" s="126"/>
      <c r="K58" s="126"/>
      <c r="L58" s="126"/>
      <c r="M58" s="126"/>
      <c r="N58" s="126"/>
      <c r="O58" s="126"/>
      <c r="P58" s="87"/>
    </row>
    <row r="59" spans="1:16" ht="15.5">
      <c r="A59" s="99"/>
      <c r="B59" s="99"/>
      <c r="C59" s="99"/>
      <c r="D59" s="124"/>
      <c r="E59" s="126"/>
      <c r="F59" s="126"/>
      <c r="G59" s="126"/>
      <c r="H59" s="126"/>
      <c r="I59" s="126"/>
      <c r="J59" s="126"/>
      <c r="K59" s="126"/>
      <c r="L59" s="126"/>
      <c r="M59" s="126"/>
      <c r="N59" s="126"/>
      <c r="O59" s="126"/>
      <c r="P59" s="87"/>
    </row>
    <row r="60" spans="1:16" ht="15.5">
      <c r="A60" s="99"/>
      <c r="B60" s="99"/>
      <c r="C60" s="99"/>
      <c r="D60" s="124"/>
      <c r="E60" s="126"/>
      <c r="F60" s="126"/>
      <c r="G60" s="126"/>
      <c r="H60" s="126"/>
      <c r="I60" s="126"/>
      <c r="J60" s="126"/>
      <c r="K60" s="126"/>
      <c r="L60" s="126"/>
      <c r="M60" s="126"/>
      <c r="N60" s="126"/>
      <c r="O60" s="126"/>
      <c r="P60" s="87"/>
    </row>
    <row r="61" spans="1:16">
      <c r="A61" s="99"/>
      <c r="B61" s="99"/>
      <c r="C61" s="99"/>
      <c r="E61" s="126"/>
      <c r="F61" s="126"/>
      <c r="G61" s="126"/>
      <c r="H61" s="126"/>
      <c r="I61" s="126"/>
      <c r="J61" s="126"/>
      <c r="K61" s="126"/>
      <c r="L61" s="126"/>
      <c r="M61" s="126"/>
      <c r="N61" s="126"/>
      <c r="O61" s="126"/>
      <c r="P61" s="87"/>
    </row>
    <row r="62" spans="1:16" ht="15.5">
      <c r="A62" s="99"/>
      <c r="B62" s="99"/>
      <c r="C62" s="99"/>
      <c r="D62" s="124"/>
      <c r="E62" s="126"/>
      <c r="F62" s="126"/>
      <c r="G62" s="126"/>
      <c r="H62" s="126"/>
      <c r="I62" s="126"/>
      <c r="J62" s="126"/>
      <c r="K62" s="126"/>
      <c r="L62" s="126"/>
      <c r="M62" s="126"/>
      <c r="N62" s="126"/>
      <c r="O62" s="126"/>
      <c r="P62" s="87"/>
    </row>
    <row r="63" spans="1:16">
      <c r="A63" s="99"/>
      <c r="D63" s="99"/>
      <c r="E63" s="126"/>
      <c r="F63" s="126"/>
      <c r="G63" s="126"/>
      <c r="H63" s="126"/>
      <c r="I63" s="126"/>
      <c r="J63" s="126"/>
      <c r="K63" s="126"/>
      <c r="L63" s="126"/>
      <c r="M63" s="126"/>
      <c r="N63" s="126"/>
      <c r="O63" s="126"/>
      <c r="P63" s="87"/>
    </row>
    <row r="64" spans="1:16">
      <c r="A64" s="99"/>
      <c r="D64" s="99"/>
      <c r="E64" s="126"/>
      <c r="F64" s="126"/>
      <c r="G64" s="126"/>
      <c r="H64" s="126"/>
      <c r="I64" s="126"/>
      <c r="J64" s="126"/>
      <c r="K64" s="126"/>
      <c r="L64" s="126"/>
      <c r="M64" s="126"/>
      <c r="N64" s="126"/>
      <c r="O64" s="126"/>
      <c r="P64" s="87"/>
    </row>
    <row r="65" spans="1:16">
      <c r="A65" s="99"/>
      <c r="E65" s="126"/>
      <c r="F65" s="126"/>
      <c r="G65" s="126"/>
      <c r="H65" s="126"/>
      <c r="I65" s="126"/>
      <c r="J65" s="126"/>
      <c r="K65" s="126"/>
      <c r="L65" s="126"/>
      <c r="M65" s="126"/>
      <c r="N65" s="126"/>
      <c r="O65" s="126"/>
      <c r="P65" s="87"/>
    </row>
    <row r="66" spans="1:16" s="99" customFormat="1">
      <c r="B66"/>
      <c r="C66"/>
      <c r="F66" s="126"/>
      <c r="G66" s="126"/>
      <c r="H66" s="126"/>
      <c r="I66" s="126"/>
      <c r="J66" s="126"/>
      <c r="K66" s="126"/>
      <c r="L66" s="126"/>
      <c r="M66" s="126"/>
      <c r="N66" s="126"/>
      <c r="O66" s="126"/>
      <c r="P66" s="126"/>
    </row>
    <row r="67" spans="1:16" s="99" customFormat="1">
      <c r="B67"/>
      <c r="C67"/>
      <c r="G67" s="126"/>
      <c r="H67" s="126"/>
      <c r="I67" s="126"/>
      <c r="J67" s="126"/>
      <c r="K67" s="126"/>
      <c r="L67" s="126"/>
      <c r="M67" s="126"/>
      <c r="N67" s="126"/>
    </row>
  </sheetData>
  <sheetProtection algorithmName="SHA-512" hashValue="Jc8MNqPjxZMAaGRtedMKM9z/Q6Ab0i+dOVdBu94+04uy+ckY8Z80OAsrBVjJHFHqWROWclSVOjGEG4WZxFyvdA==" saltValue="h4W8E0aEIUbuJJxDjEptbQ==" spinCount="100000" sheet="1" objects="1" scenarios="1"/>
  <hyperlinks>
    <hyperlink ref="D56" location="'Einkommens &amp; Vermögensbilanz'!A1" display="weiter" xr:uid="{367EF219-360E-49B9-A9FE-84B19275B218}"/>
    <hyperlink ref="B56" location="Info!A1" display="zurück" xr:uid="{95AC63E3-D455-4EBB-9C89-3841C8ED84AD}"/>
    <hyperlink ref="F20" location="Steuertabelle!A1" display="Steuertabelle!A1" xr:uid="{74A769F8-EB0B-4C89-9F98-E5836A2974D4}"/>
    <hyperlink ref="F5" location="'Einkommens &amp; Vermögensbilanz'!A1" display="'Einkommens &amp; Vermögensbilanz'!A1" xr:uid="{6892ACF3-239C-4AD8-BCC8-E29ADF5DFAF1}"/>
    <hyperlink ref="F6" location="Rentenlücke!A1" display="Rentenlücke!A1" xr:uid="{C10FCC7A-D138-450A-B418-DD56FEEDAA95}"/>
    <hyperlink ref="F7" location="'Max Volumen'!A1" display="Maximale Finanzierungshöhe" xr:uid="{1BABDDBB-1681-42F1-B6AF-B11510F235D9}"/>
    <hyperlink ref="F12" location="'Eingabe Immodaten'!A1" display="'Eingabe Immodaten'!A1" xr:uid="{4BB5A5C0-5E3C-40A3-BA68-2A719AB77EB3}"/>
    <hyperlink ref="F9" location="Bilanz!A1" display="Bilanz" xr:uid="{0BED93C7-978A-4366-BF71-684BC99ADDE0}"/>
    <hyperlink ref="F21" location="Inflationstabelle!A1" display="Inflationstabelle!A1" xr:uid="{F874D885-48A9-4630-9515-54B2063DFAC7}"/>
    <hyperlink ref="F16" location="'Kurzberechnung Jahr 1'!A1" display="'Kurzberechnung Jahr 1'!A1" xr:uid="{823E547A-71E9-47E2-BE8C-4A00DF787CDD}"/>
    <hyperlink ref="F17" location="Steuerbetrachtung!A1" display="Steuerbetrachtung!A1" xr:uid="{DF5509ED-06F6-448C-B96A-6609EE57480E}"/>
    <hyperlink ref="F13" location="Ergebnistabelle!A1" display="Ergebnistabelle!A1" xr:uid="{F16D7297-997A-43F1-83D1-488F32B03477}"/>
    <hyperlink ref="F8" location="Beispielberechnung!A1" display="Beispielberechnung" xr:uid="{7BE56E22-0AF4-4130-9DAB-2CD42ABD60B4}"/>
    <hyperlink ref="F10" location="'Bilanz Diagramm'!A1" display="Bilanz Diagramm" xr:uid="{E8C4D0C4-1067-4F66-9C59-DAE9923F4059}"/>
    <hyperlink ref="F22" location="Einstellungen!A1" display="Einstellungen (Pauschalen &amp; Zins)" xr:uid="{5B8F7102-30AB-470E-B909-AD2025431494}"/>
    <hyperlink ref="F11" location="'Vergleich Sparplan'!A1" display="Vergleich mit Sparplan" xr:uid="{70FE9DF4-BE7D-42C3-984A-C01745E153E7}"/>
  </hyperlinks>
  <pageMargins left="0.70866141732283472" right="0.70866141732283472" top="0.78740157480314965" bottom="0.78740157480314965" header="0.31496062992125984" footer="0.31496062992125984"/>
  <pageSetup paperSize="9" scale="67"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C7EECC-F4DB-4558-85DB-43801E9986D5}">
          <x14:formula1>
            <xm:f>Einstellungen!$J$2:$J$8</xm:f>
          </x14:formula1>
          <xm:sqref>C53</xm:sqref>
        </x14:dataValidation>
        <x14:dataValidation type="list" allowBlank="1" showInputMessage="1" showErrorMessage="1" xr:uid="{08A2DAF4-27AE-4597-A5F1-90AD52E8E0DC}">
          <x14:formula1>
            <xm:f>Einstellungen!$A$2:$A$3</xm:f>
          </x14:formula1>
          <xm:sqref>C48</xm:sqref>
        </x14:dataValidation>
        <x14:dataValidation type="list" allowBlank="1" showInputMessage="1" showErrorMessage="1" xr:uid="{7DB47BB3-6173-41FC-8A9D-5D8AF7152DB7}">
          <x14:formula1>
            <xm:f>Einstellungen!$D$2:$D$7</xm:f>
          </x14:formula1>
          <xm:sqref>C49</xm:sqref>
        </x14:dataValidation>
        <x14:dataValidation type="list" allowBlank="1" showInputMessage="1" showErrorMessage="1" xr:uid="{86A87EE6-B7AC-4C59-81B8-5C85BC876A69}">
          <x14:formula1>
            <xm:f>Einstellungen!$G$2:$G$4</xm:f>
          </x14:formula1>
          <xm:sqref>C50</xm:sqref>
        </x14:dataValidation>
        <x14:dataValidation type="list" allowBlank="1" showInputMessage="1" showErrorMessage="1" xr:uid="{408757C3-428F-4CEB-B545-D6C955135287}">
          <x14:formula1>
            <xm:f>Einstellungen!$M$2:$M$16</xm:f>
          </x14:formula1>
          <xm:sqref>C42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FF00"/>
    <pageSetUpPr fitToPage="1"/>
  </sheetPr>
  <dimension ref="A1:S65"/>
  <sheetViews>
    <sheetView showOutlineSymbols="0" topLeftCell="A3" zoomScaleNormal="100" workbookViewId="0">
      <selection activeCell="F36" sqref="F36"/>
    </sheetView>
  </sheetViews>
  <sheetFormatPr baseColWidth="10" defaultColWidth="10.7265625" defaultRowHeight="12.5" outlineLevelRow="1"/>
  <cols>
    <col min="1" max="1" width="6.7265625" customWidth="1"/>
    <col min="2" max="2" width="53.54296875" customWidth="1"/>
    <col min="3" max="3" width="16.453125" customWidth="1"/>
    <col min="4" max="4" width="7.26953125" bestFit="1" customWidth="1"/>
    <col min="5" max="5" width="4.81640625" customWidth="1"/>
    <col min="7" max="7" width="51.81640625" bestFit="1" customWidth="1"/>
    <col min="8" max="8" width="14.7265625" bestFit="1" customWidth="1"/>
    <col min="10" max="10" width="24.1796875" customWidth="1"/>
    <col min="11" max="11" width="36" bestFit="1" customWidth="1"/>
    <col min="12" max="13" width="18.1796875" bestFit="1" customWidth="1"/>
  </cols>
  <sheetData>
    <row r="1" spans="1:19">
      <c r="A1" s="180"/>
      <c r="B1" s="1"/>
      <c r="C1" s="180"/>
      <c r="D1" s="180"/>
      <c r="E1" s="180"/>
      <c r="F1" s="180"/>
      <c r="G1" s="99"/>
      <c r="H1" s="99"/>
      <c r="I1" s="94"/>
      <c r="J1" s="94"/>
      <c r="K1" s="94"/>
      <c r="L1" s="94"/>
      <c r="M1" s="94"/>
      <c r="N1" s="94"/>
      <c r="O1" s="94"/>
      <c r="P1" s="126"/>
      <c r="Q1" s="99"/>
    </row>
    <row r="2" spans="1:19" ht="18">
      <c r="A2" s="180"/>
      <c r="B2" s="92" t="s">
        <v>216</v>
      </c>
      <c r="C2" s="113"/>
      <c r="D2" s="113"/>
      <c r="E2" s="185" t="s">
        <v>275</v>
      </c>
      <c r="F2" s="180"/>
      <c r="G2" s="186"/>
      <c r="H2" s="99"/>
      <c r="I2" s="94"/>
      <c r="J2" s="94"/>
      <c r="K2" s="94"/>
      <c r="L2" s="94"/>
      <c r="M2" s="94"/>
      <c r="N2" s="94"/>
      <c r="O2" s="94"/>
      <c r="P2" s="126"/>
      <c r="Q2" s="99"/>
    </row>
    <row r="3" spans="1:19" ht="13" thickBot="1">
      <c r="A3" s="180"/>
      <c r="C3" s="99"/>
      <c r="D3" s="99"/>
      <c r="E3" s="99"/>
      <c r="F3" s="180"/>
      <c r="G3" s="99"/>
      <c r="H3" s="99"/>
      <c r="I3" s="94"/>
      <c r="J3" s="94"/>
      <c r="K3" s="94"/>
      <c r="L3" s="94"/>
      <c r="M3" s="94"/>
      <c r="N3" s="94"/>
      <c r="O3" s="94"/>
      <c r="P3" s="126"/>
      <c r="Q3" s="99"/>
    </row>
    <row r="4" spans="1:19" ht="16" thickBot="1">
      <c r="A4" s="180"/>
      <c r="B4" s="15" t="s">
        <v>3</v>
      </c>
      <c r="C4" s="31"/>
      <c r="D4" s="31"/>
      <c r="E4" s="32"/>
      <c r="F4" s="180"/>
      <c r="G4" s="290" t="s">
        <v>60</v>
      </c>
      <c r="H4" s="291"/>
      <c r="I4" s="94"/>
      <c r="J4" s="94"/>
      <c r="K4" s="94"/>
      <c r="L4" s="94"/>
      <c r="M4" s="94"/>
      <c r="N4" s="263"/>
      <c r="O4" s="263"/>
      <c r="P4" s="87"/>
    </row>
    <row r="5" spans="1:19">
      <c r="A5" s="180"/>
      <c r="B5" s="478" t="s">
        <v>0</v>
      </c>
      <c r="C5" s="485">
        <v>250122</v>
      </c>
      <c r="D5" s="486"/>
      <c r="E5" s="26"/>
      <c r="F5" s="180"/>
      <c r="G5" s="498" t="s">
        <v>161</v>
      </c>
      <c r="H5" s="494">
        <v>0</v>
      </c>
      <c r="I5" s="94"/>
      <c r="J5" s="94"/>
      <c r="K5" s="94"/>
      <c r="L5" s="94"/>
      <c r="M5" s="94"/>
      <c r="N5" s="263"/>
      <c r="O5" s="263"/>
      <c r="P5" s="399"/>
    </row>
    <row r="6" spans="1:19">
      <c r="A6" s="180"/>
      <c r="B6" s="478" t="s">
        <v>7</v>
      </c>
      <c r="C6" s="483">
        <f>C5*D6</f>
        <v>50024.4</v>
      </c>
      <c r="D6" s="487">
        <v>0.2</v>
      </c>
      <c r="E6" s="26"/>
      <c r="F6" s="180"/>
      <c r="G6" s="499" t="s">
        <v>42</v>
      </c>
      <c r="H6" s="495">
        <v>10</v>
      </c>
      <c r="I6" s="94"/>
      <c r="J6" s="94"/>
      <c r="K6" s="94"/>
      <c r="L6" s="94"/>
      <c r="M6" s="94"/>
      <c r="N6" s="263"/>
      <c r="O6" s="263"/>
      <c r="P6" s="87"/>
    </row>
    <row r="7" spans="1:19">
      <c r="A7" s="180"/>
      <c r="B7" s="478" t="s">
        <v>24</v>
      </c>
      <c r="C7" s="488">
        <v>0</v>
      </c>
      <c r="D7" s="486"/>
      <c r="E7" s="26"/>
      <c r="F7" s="180"/>
      <c r="G7" s="499" t="s">
        <v>43</v>
      </c>
      <c r="H7" s="495">
        <v>2.5299999999999998</v>
      </c>
      <c r="I7" s="94"/>
      <c r="J7" s="94"/>
      <c r="K7" s="94"/>
      <c r="L7" s="94"/>
      <c r="M7" s="94"/>
      <c r="N7" s="263"/>
      <c r="O7" s="263"/>
      <c r="P7" s="87"/>
    </row>
    <row r="8" spans="1:19">
      <c r="A8" s="180"/>
      <c r="B8" s="478" t="s">
        <v>13</v>
      </c>
      <c r="C8" s="483">
        <f>C5*D8</f>
        <v>18759.149999999998</v>
      </c>
      <c r="D8" s="489">
        <v>7.4999999999999997E-2</v>
      </c>
      <c r="E8" s="26"/>
      <c r="F8" s="180"/>
      <c r="G8" s="499" t="s">
        <v>44</v>
      </c>
      <c r="H8" s="495">
        <v>3</v>
      </c>
      <c r="I8" s="94"/>
      <c r="J8" s="94"/>
      <c r="K8" s="94"/>
      <c r="L8" s="94"/>
      <c r="M8" s="94"/>
      <c r="N8" s="263"/>
      <c r="O8" s="263"/>
      <c r="P8" s="87"/>
    </row>
    <row r="9" spans="1:19">
      <c r="A9" s="180"/>
      <c r="B9" s="478" t="s">
        <v>14</v>
      </c>
      <c r="C9" s="488">
        <v>0</v>
      </c>
      <c r="D9" s="486"/>
      <c r="E9" s="26"/>
      <c r="F9" s="180"/>
      <c r="G9" s="499" t="s">
        <v>162</v>
      </c>
      <c r="H9" s="496">
        <f>H5*(H7+H8)/100</f>
        <v>0</v>
      </c>
      <c r="I9" s="94"/>
      <c r="J9" s="94"/>
      <c r="K9" s="94"/>
      <c r="L9" s="94"/>
      <c r="M9" s="94"/>
      <c r="N9" s="263"/>
      <c r="O9" s="263"/>
      <c r="P9" s="87"/>
    </row>
    <row r="10" spans="1:19">
      <c r="A10" s="180"/>
      <c r="B10" s="478" t="s">
        <v>1</v>
      </c>
      <c r="C10" s="483">
        <f>C5+C8+C9</f>
        <v>268881.15000000002</v>
      </c>
      <c r="D10" s="486"/>
      <c r="E10" s="26"/>
      <c r="F10" s="180"/>
      <c r="G10" s="499" t="s">
        <v>45</v>
      </c>
      <c r="H10" s="495">
        <v>2.5299999999999998</v>
      </c>
      <c r="I10" s="94"/>
      <c r="J10" s="94"/>
      <c r="K10" s="94"/>
      <c r="L10" s="94"/>
      <c r="M10" s="94"/>
      <c r="N10" s="263"/>
      <c r="O10" s="263"/>
      <c r="P10" s="87"/>
    </row>
    <row r="11" spans="1:19" ht="13" thickBot="1">
      <c r="A11" s="180"/>
      <c r="B11" s="478" t="s">
        <v>81</v>
      </c>
      <c r="C11" s="483">
        <f>D11*12</f>
        <v>11400</v>
      </c>
      <c r="D11" s="490">
        <v>950</v>
      </c>
      <c r="E11" s="27" t="s">
        <v>57</v>
      </c>
      <c r="F11" s="187"/>
      <c r="G11" s="500" t="s">
        <v>163</v>
      </c>
      <c r="H11" s="497">
        <f>H5*(H8+H10)/100</f>
        <v>0</v>
      </c>
      <c r="I11" s="94"/>
      <c r="J11" s="94"/>
      <c r="K11" s="94"/>
      <c r="L11" s="94"/>
      <c r="M11" s="94"/>
      <c r="N11" s="263"/>
      <c r="O11" s="263"/>
      <c r="P11" s="87"/>
    </row>
    <row r="12" spans="1:19" ht="13" thickBot="1">
      <c r="A12" s="180"/>
      <c r="B12" s="478" t="s">
        <v>155</v>
      </c>
      <c r="C12" s="483">
        <f>D12*12</f>
        <v>612.12</v>
      </c>
      <c r="D12" s="482">
        <v>51.01</v>
      </c>
      <c r="E12" s="27" t="s">
        <v>57</v>
      </c>
      <c r="F12" s="180"/>
      <c r="G12" s="2"/>
      <c r="H12" s="2"/>
      <c r="I12" s="94"/>
      <c r="J12" s="474"/>
      <c r="K12" s="94"/>
      <c r="L12" s="94"/>
      <c r="M12" s="94"/>
      <c r="N12" s="263"/>
      <c r="O12" s="263"/>
      <c r="P12" s="87"/>
    </row>
    <row r="13" spans="1:19" ht="16" thickBot="1">
      <c r="A13" s="180"/>
      <c r="B13" s="478" t="s">
        <v>156</v>
      </c>
      <c r="C13" s="483">
        <f>D13*12</f>
        <v>720</v>
      </c>
      <c r="D13" s="482">
        <v>60</v>
      </c>
      <c r="E13" s="27" t="s">
        <v>57</v>
      </c>
      <c r="F13" s="180"/>
      <c r="G13" s="292" t="s">
        <v>6</v>
      </c>
      <c r="H13" s="293"/>
      <c r="I13" s="94"/>
      <c r="J13" s="94"/>
      <c r="K13" s="94"/>
      <c r="L13" s="94"/>
      <c r="M13" s="94"/>
      <c r="N13" s="263"/>
      <c r="O13" s="263"/>
      <c r="P13" s="87"/>
      <c r="Q13" s="87"/>
      <c r="R13" s="87"/>
      <c r="S13" s="87"/>
    </row>
    <row r="14" spans="1:19" ht="13">
      <c r="A14" s="180"/>
      <c r="B14" s="478" t="s">
        <v>82</v>
      </c>
      <c r="C14" s="483">
        <f>C11-C12-C13</f>
        <v>10067.879999999999</v>
      </c>
      <c r="D14" s="486"/>
      <c r="E14" s="27"/>
      <c r="F14" s="180"/>
      <c r="G14" s="499" t="s">
        <v>25</v>
      </c>
      <c r="H14" s="501">
        <f>C5+C8-(C6+C7)*(1+C8/C5)</f>
        <v>215104.92000000004</v>
      </c>
      <c r="I14" s="94"/>
      <c r="J14" s="95" t="s">
        <v>113</v>
      </c>
      <c r="K14" s="94"/>
      <c r="L14" s="94"/>
      <c r="M14" s="94"/>
      <c r="N14" s="263"/>
      <c r="O14" s="263"/>
      <c r="P14" s="87"/>
      <c r="Q14" s="87"/>
      <c r="R14" s="87"/>
      <c r="S14" s="87"/>
    </row>
    <row r="15" spans="1:19">
      <c r="A15" s="180"/>
      <c r="B15" s="478" t="s">
        <v>26</v>
      </c>
      <c r="C15" s="481">
        <v>3</v>
      </c>
      <c r="D15" s="486"/>
      <c r="E15" s="26"/>
      <c r="F15" s="180"/>
      <c r="G15" s="499" t="s">
        <v>376</v>
      </c>
      <c r="H15" s="502">
        <v>3.5</v>
      </c>
      <c r="I15" s="94"/>
      <c r="J15" s="94" t="s">
        <v>109</v>
      </c>
      <c r="K15" s="94" t="s">
        <v>110</v>
      </c>
      <c r="L15" s="94"/>
      <c r="M15" s="94"/>
      <c r="N15" s="263"/>
      <c r="O15" s="263"/>
      <c r="P15" s="87"/>
      <c r="Q15" s="87"/>
      <c r="R15" s="87"/>
      <c r="S15" s="87"/>
    </row>
    <row r="16" spans="1:19">
      <c r="A16" s="180"/>
      <c r="B16" s="478" t="s">
        <v>2</v>
      </c>
      <c r="C16" s="481">
        <v>1</v>
      </c>
      <c r="D16" s="486"/>
      <c r="E16" s="26"/>
      <c r="F16" s="180"/>
      <c r="G16" s="499" t="s">
        <v>21</v>
      </c>
      <c r="H16" s="501">
        <f>C7*C10/C5</f>
        <v>0</v>
      </c>
      <c r="I16" s="94"/>
      <c r="J16" s="94" t="s">
        <v>152</v>
      </c>
      <c r="K16" s="475">
        <v>2</v>
      </c>
      <c r="L16" s="94"/>
      <c r="M16" s="94"/>
      <c r="N16" s="263"/>
      <c r="O16" s="263"/>
      <c r="P16" s="87"/>
      <c r="Q16" s="87"/>
      <c r="R16" s="87"/>
      <c r="S16" s="87"/>
    </row>
    <row r="17" spans="1:19">
      <c r="A17" s="180"/>
      <c r="B17" s="478" t="s">
        <v>274</v>
      </c>
      <c r="C17" s="491">
        <f>(C5+C9)/C11</f>
        <v>21.940526315789473</v>
      </c>
      <c r="D17" s="486"/>
      <c r="E17" s="26"/>
      <c r="F17" s="180"/>
      <c r="G17" s="499" t="s">
        <v>154</v>
      </c>
      <c r="H17" s="503" t="s">
        <v>152</v>
      </c>
      <c r="I17" s="94"/>
      <c r="J17" s="94" t="s">
        <v>153</v>
      </c>
      <c r="K17" s="94">
        <v>3</v>
      </c>
      <c r="L17" s="94"/>
      <c r="M17" s="94"/>
      <c r="N17" s="263"/>
      <c r="O17" s="263"/>
      <c r="P17" s="87"/>
      <c r="Q17" s="87"/>
      <c r="R17" s="87"/>
      <c r="S17" s="87"/>
    </row>
    <row r="18" spans="1:19" ht="14.5">
      <c r="A18" s="180"/>
      <c r="B18" s="478" t="s">
        <v>27</v>
      </c>
      <c r="C18" s="491">
        <f>1/C17*100</f>
        <v>4.557775805406961</v>
      </c>
      <c r="D18" s="486"/>
      <c r="E18" s="26"/>
      <c r="F18" s="180"/>
      <c r="G18" s="499" t="s">
        <v>29</v>
      </c>
      <c r="H18" s="504">
        <v>60000</v>
      </c>
      <c r="I18" s="94"/>
      <c r="J18" s="94" t="s">
        <v>111</v>
      </c>
      <c r="K18" s="96">
        <f>VLOOKUP(H17,J16:K17,2,FALSE)</f>
        <v>2</v>
      </c>
      <c r="L18" s="94"/>
      <c r="M18" s="94"/>
      <c r="N18" s="263"/>
      <c r="O18" s="263"/>
      <c r="P18" s="87"/>
      <c r="Q18" s="87"/>
      <c r="R18" s="87"/>
      <c r="S18" s="87"/>
    </row>
    <row r="19" spans="1:19" ht="13" thickBot="1">
      <c r="A19" s="180"/>
      <c r="B19" s="479" t="s">
        <v>28</v>
      </c>
      <c r="C19" s="492">
        <f>C14/C10*100</f>
        <v>3.7443606589751632</v>
      </c>
      <c r="D19" s="493"/>
      <c r="E19" s="29"/>
      <c r="F19" s="180"/>
      <c r="G19" s="505" t="s">
        <v>350</v>
      </c>
      <c r="H19" s="506">
        <f>K19</f>
        <v>0.39</v>
      </c>
      <c r="I19" s="94"/>
      <c r="J19" s="94" t="s">
        <v>112</v>
      </c>
      <c r="K19" s="97">
        <f>VLOOKUP(H18,Steuertabelle!A:C,K18,FALSE)</f>
        <v>0.39</v>
      </c>
      <c r="L19" s="94"/>
      <c r="M19" s="94"/>
      <c r="N19" s="263"/>
      <c r="O19" s="263"/>
      <c r="P19" s="87"/>
      <c r="Q19" s="87"/>
      <c r="R19" s="87"/>
      <c r="S19" s="87"/>
    </row>
    <row r="20" spans="1:19" ht="13" thickBot="1">
      <c r="A20" s="180"/>
      <c r="B20" s="2"/>
      <c r="C20" s="2"/>
      <c r="D20" s="2"/>
      <c r="E20" s="2"/>
      <c r="F20" s="180"/>
      <c r="I20" s="94"/>
      <c r="J20" s="94"/>
      <c r="K20" s="94"/>
      <c r="L20" s="94"/>
      <c r="M20" s="94"/>
      <c r="N20" s="263"/>
      <c r="O20" s="263"/>
      <c r="P20" s="87"/>
      <c r="Q20" s="87"/>
      <c r="R20" s="87"/>
      <c r="S20" s="87"/>
    </row>
    <row r="21" spans="1:19" ht="16" thickBot="1">
      <c r="A21" s="180"/>
      <c r="B21" s="15" t="s">
        <v>4</v>
      </c>
      <c r="C21" s="31"/>
      <c r="D21" s="31"/>
      <c r="E21" s="32"/>
      <c r="F21" s="180"/>
      <c r="G21" s="292" t="s">
        <v>237</v>
      </c>
      <c r="H21" s="293"/>
      <c r="I21" s="94"/>
      <c r="J21" s="94"/>
      <c r="K21" s="94"/>
      <c r="L21" s="94"/>
      <c r="M21" s="94"/>
      <c r="N21" s="263"/>
      <c r="O21" s="263"/>
      <c r="P21" s="87"/>
      <c r="Q21" s="87"/>
      <c r="R21" s="87"/>
      <c r="S21" s="87"/>
    </row>
    <row r="22" spans="1:19">
      <c r="A22" s="180"/>
      <c r="B22" s="478" t="s">
        <v>5</v>
      </c>
      <c r="C22" s="510">
        <v>18759</v>
      </c>
      <c r="D22" s="2"/>
      <c r="E22" s="30"/>
      <c r="F22" s="180"/>
      <c r="G22" s="499" t="s">
        <v>23</v>
      </c>
      <c r="H22" s="507">
        <v>22.22</v>
      </c>
      <c r="I22" s="94"/>
      <c r="J22" s="94"/>
      <c r="K22" s="94"/>
      <c r="L22" s="94"/>
      <c r="M22" s="94"/>
      <c r="N22" s="263"/>
      <c r="O22" s="263"/>
      <c r="P22" s="87"/>
      <c r="Q22" s="87"/>
      <c r="R22" s="87"/>
      <c r="S22" s="87"/>
    </row>
    <row r="23" spans="1:19">
      <c r="A23" s="180"/>
      <c r="B23" s="478" t="s">
        <v>157</v>
      </c>
      <c r="C23" s="483">
        <f>(C10-C22)/(1-C29/100)</f>
        <v>250122.15000000002</v>
      </c>
      <c r="D23" s="2"/>
      <c r="E23" s="26"/>
      <c r="F23" s="180"/>
      <c r="G23" s="499" t="s">
        <v>260</v>
      </c>
      <c r="H23" s="501">
        <f>SUM(Ergebnistabelle!AP7:AP56)</f>
        <v>1078134.4328025794</v>
      </c>
      <c r="I23" s="94"/>
      <c r="J23" s="94" t="s">
        <v>265</v>
      </c>
      <c r="K23" s="476">
        <f>SUM(Ergebnistabelle!AU7:AU56)</f>
        <v>1.0435999999999999E-7</v>
      </c>
      <c r="L23" s="94"/>
      <c r="M23" s="94"/>
      <c r="N23" s="263"/>
      <c r="O23" s="263"/>
      <c r="P23" s="87"/>
      <c r="Q23" s="87"/>
      <c r="R23" s="87"/>
      <c r="S23" s="87"/>
    </row>
    <row r="24" spans="1:19" ht="13" thickBot="1">
      <c r="A24" s="180"/>
      <c r="B24" s="479" t="str">
        <f>IF(C24&gt;0,"Achtung! Finanzierungslücke!","Grün = Keine Finanzierungslücke - Rot = Überfinanzierung")</f>
        <v>Achtung! Finanzierungslücke!</v>
      </c>
      <c r="C24" s="511">
        <f>C23-C27-H5</f>
        <v>0.15000000002328306</v>
      </c>
      <c r="D24" s="28"/>
      <c r="E24" s="29"/>
      <c r="F24" s="180"/>
      <c r="G24" s="499" t="s">
        <v>261</v>
      </c>
      <c r="H24" s="501">
        <f>H23-SUM(Ergebnistabelle!AS7:AS56)</f>
        <v>1078134.4327926463</v>
      </c>
      <c r="I24" s="94"/>
      <c r="J24" s="94" t="s">
        <v>82</v>
      </c>
      <c r="K24" s="476">
        <f>SUM(Ergebnistabelle!AT7:AT56)</f>
        <v>46351.746177644316</v>
      </c>
      <c r="L24" s="94"/>
      <c r="M24" s="94"/>
      <c r="N24" s="263"/>
      <c r="O24" s="263"/>
      <c r="P24" s="87"/>
      <c r="Q24" s="87"/>
      <c r="R24" s="87"/>
      <c r="S24" s="87"/>
    </row>
    <row r="25" spans="1:19" ht="13" thickBot="1">
      <c r="A25" s="180"/>
      <c r="B25" s="24"/>
      <c r="C25" s="25"/>
      <c r="D25" s="2"/>
      <c r="E25" s="2"/>
      <c r="F25" s="180"/>
      <c r="G25" s="499" t="str">
        <f>IF(H25&gt;0,"Überschuss aus mtl. Zahlungen inkl. Eigenkapital","Summe aller Zahlungen inkl. Eigenkapital")</f>
        <v>Überschuss aus mtl. Zahlungen inkl. Eigenkapital</v>
      </c>
      <c r="H25" s="501">
        <f>SUM(Ergebnistabelle!AQ7:AQ56)</f>
        <v>441405.96174585092</v>
      </c>
      <c r="I25" s="94"/>
      <c r="J25" s="94" t="s">
        <v>268</v>
      </c>
      <c r="K25" s="477">
        <f>C10-C27+K23</f>
        <v>18759.150000104382</v>
      </c>
      <c r="L25" s="94"/>
      <c r="M25" s="94"/>
      <c r="N25" s="263"/>
      <c r="O25" s="263"/>
      <c r="P25" s="87"/>
      <c r="Q25" s="87"/>
      <c r="R25" s="87"/>
      <c r="S25" s="87"/>
    </row>
    <row r="26" spans="1:19" ht="15.5">
      <c r="A26" s="180"/>
      <c r="B26" s="15" t="s">
        <v>59</v>
      </c>
      <c r="C26" s="31"/>
      <c r="D26" s="31"/>
      <c r="E26" s="32"/>
      <c r="F26" s="180"/>
      <c r="G26" s="499" t="s">
        <v>245</v>
      </c>
      <c r="H26" s="501">
        <f>SUM(Ergebnistabelle!AR7:AR56)</f>
        <v>1551884.4275225748</v>
      </c>
      <c r="I26" s="94"/>
      <c r="J26" s="94" t="s">
        <v>269</v>
      </c>
      <c r="K26" s="98">
        <f>K24/K25</f>
        <v>2.4708873364404251</v>
      </c>
      <c r="L26" s="94"/>
      <c r="M26" s="94"/>
      <c r="N26" s="263"/>
      <c r="O26" s="263"/>
      <c r="P26" s="87"/>
      <c r="Q26" s="87"/>
      <c r="R26" s="87"/>
      <c r="S26" s="87"/>
    </row>
    <row r="27" spans="1:19">
      <c r="A27" s="180"/>
      <c r="B27" s="478" t="s">
        <v>158</v>
      </c>
      <c r="C27" s="480">
        <v>250122</v>
      </c>
      <c r="D27" s="2"/>
      <c r="E27" s="30"/>
      <c r="F27" s="180"/>
      <c r="G27" s="499" t="s">
        <v>269</v>
      </c>
      <c r="H27" s="508">
        <f>K26</f>
        <v>2.4708873364404251</v>
      </c>
      <c r="I27" s="94"/>
      <c r="J27" s="94"/>
      <c r="K27" s="94"/>
      <c r="L27" s="94"/>
      <c r="M27" s="94"/>
      <c r="N27" s="263"/>
      <c r="O27" s="263"/>
      <c r="P27" s="87"/>
      <c r="Q27" s="87"/>
      <c r="R27" s="87"/>
      <c r="S27" s="87"/>
    </row>
    <row r="28" spans="1:19" ht="13" thickBot="1">
      <c r="A28" s="180"/>
      <c r="B28" s="478" t="s">
        <v>38</v>
      </c>
      <c r="C28" s="481">
        <v>10</v>
      </c>
      <c r="D28" s="2"/>
      <c r="E28" s="26"/>
      <c r="F28" s="180"/>
      <c r="G28" s="500" t="s">
        <v>347</v>
      </c>
      <c r="H28" s="509">
        <v>50</v>
      </c>
      <c r="I28" s="94"/>
      <c r="J28" s="94"/>
      <c r="K28" s="94"/>
      <c r="L28" s="94"/>
      <c r="M28" s="94"/>
      <c r="N28" s="263"/>
      <c r="O28" s="263"/>
      <c r="P28" s="87"/>
      <c r="Q28" s="87"/>
      <c r="R28" s="87"/>
      <c r="S28" s="87"/>
    </row>
    <row r="29" spans="1:19">
      <c r="A29" s="180"/>
      <c r="B29" s="478" t="s">
        <v>22</v>
      </c>
      <c r="C29" s="482">
        <v>0</v>
      </c>
      <c r="D29" s="2"/>
      <c r="E29" s="26"/>
      <c r="F29" s="180"/>
      <c r="G29" s="99"/>
      <c r="H29" s="115"/>
      <c r="I29" s="94"/>
      <c r="J29" s="94"/>
      <c r="K29" s="94"/>
      <c r="L29" s="94"/>
      <c r="M29" s="94"/>
      <c r="N29" s="263"/>
      <c r="O29" s="263"/>
      <c r="P29" s="87"/>
      <c r="Q29" s="87"/>
      <c r="R29" s="87"/>
      <c r="S29" s="87"/>
    </row>
    <row r="30" spans="1:19">
      <c r="A30" s="180"/>
      <c r="B30" s="478" t="s">
        <v>39</v>
      </c>
      <c r="C30" s="482">
        <v>4.3</v>
      </c>
      <c r="D30" s="2"/>
      <c r="E30" s="26"/>
      <c r="F30" s="180"/>
      <c r="G30" s="99"/>
      <c r="H30" s="99"/>
      <c r="I30" s="94"/>
      <c r="J30" s="94"/>
      <c r="K30" s="94"/>
      <c r="L30" s="94"/>
      <c r="M30" s="94"/>
      <c r="N30" s="263"/>
      <c r="O30" s="263"/>
      <c r="P30" s="87"/>
    </row>
    <row r="31" spans="1:19">
      <c r="A31" s="180"/>
      <c r="B31" s="478" t="s">
        <v>40</v>
      </c>
      <c r="C31" s="482">
        <v>2</v>
      </c>
      <c r="D31" s="2"/>
      <c r="E31" s="26"/>
      <c r="F31" s="180"/>
      <c r="G31" s="99"/>
      <c r="H31" s="99"/>
      <c r="I31" s="94"/>
      <c r="J31" s="94"/>
      <c r="K31" s="94"/>
      <c r="L31" s="94"/>
      <c r="M31" s="94"/>
      <c r="N31" s="263"/>
      <c r="O31" s="263"/>
      <c r="P31" s="87"/>
    </row>
    <row r="32" spans="1:19">
      <c r="A32" s="180"/>
      <c r="B32" s="478" t="s">
        <v>159</v>
      </c>
      <c r="C32" s="483">
        <f>C27*(C30+C31)/100</f>
        <v>15757.685999999998</v>
      </c>
      <c r="D32" s="2"/>
      <c r="E32" s="26"/>
      <c r="F32" s="180"/>
      <c r="G32" s="99"/>
      <c r="H32" s="99"/>
      <c r="I32" s="94"/>
      <c r="J32" s="94"/>
      <c r="K32" s="94"/>
      <c r="L32" s="94"/>
      <c r="M32" s="94"/>
      <c r="N32" s="263"/>
      <c r="O32" s="263"/>
      <c r="P32" s="87"/>
    </row>
    <row r="33" spans="1:16">
      <c r="A33" s="180"/>
      <c r="B33" s="478" t="s">
        <v>41</v>
      </c>
      <c r="C33" s="482">
        <v>4.3600000000000003</v>
      </c>
      <c r="D33" s="2"/>
      <c r="E33" s="26"/>
      <c r="F33" s="180"/>
      <c r="G33" s="99"/>
      <c r="H33" s="99"/>
      <c r="I33" s="94"/>
      <c r="J33" s="94"/>
      <c r="K33" s="94"/>
      <c r="L33" s="94"/>
      <c r="M33" s="94"/>
      <c r="N33" s="263"/>
      <c r="O33" s="263"/>
      <c r="P33" s="87"/>
    </row>
    <row r="34" spans="1:16" ht="13" thickBot="1">
      <c r="A34" s="180"/>
      <c r="B34" s="479" t="s">
        <v>160</v>
      </c>
      <c r="C34" s="484">
        <f>C27*(C31+C33)/100</f>
        <v>15907.759200000002</v>
      </c>
      <c r="D34" s="28"/>
      <c r="E34" s="29"/>
      <c r="F34" s="180"/>
      <c r="G34" s="99"/>
      <c r="H34" s="99"/>
      <c r="I34" s="94"/>
      <c r="J34" s="94"/>
      <c r="K34" s="94"/>
      <c r="L34" s="94"/>
      <c r="M34" s="94"/>
      <c r="N34" s="263"/>
      <c r="O34" s="263"/>
      <c r="P34" s="87"/>
    </row>
    <row r="35" spans="1:16">
      <c r="A35" s="180"/>
      <c r="B35" s="99"/>
      <c r="C35" s="99"/>
      <c r="D35" s="180"/>
      <c r="E35" s="180"/>
      <c r="F35" s="180"/>
      <c r="G35" s="99"/>
      <c r="H35" s="99"/>
      <c r="I35" s="94"/>
      <c r="J35" s="94"/>
      <c r="K35" s="94"/>
      <c r="L35" s="94"/>
      <c r="M35" s="94"/>
      <c r="N35" s="263"/>
      <c r="O35" s="263"/>
      <c r="P35" s="87"/>
    </row>
    <row r="36" spans="1:16">
      <c r="A36" s="180"/>
      <c r="B36" s="157"/>
      <c r="C36" s="99"/>
      <c r="D36" s="180"/>
      <c r="E36" s="180"/>
      <c r="F36" s="131" t="s">
        <v>226</v>
      </c>
      <c r="G36" s="99"/>
      <c r="H36" s="181"/>
      <c r="I36" s="94"/>
      <c r="J36" s="94"/>
      <c r="K36" s="94"/>
      <c r="L36" s="94"/>
      <c r="M36" s="94"/>
      <c r="N36" s="263"/>
      <c r="O36" s="263"/>
      <c r="P36" s="87"/>
    </row>
    <row r="37" spans="1:16">
      <c r="A37" s="180"/>
      <c r="B37" s="99"/>
      <c r="C37" s="99"/>
      <c r="D37" s="99"/>
      <c r="E37" s="99"/>
      <c r="F37" s="99"/>
      <c r="G37" s="99"/>
      <c r="H37" s="99"/>
      <c r="I37" s="94"/>
      <c r="J37" s="94"/>
      <c r="K37" s="94"/>
      <c r="L37" s="94"/>
      <c r="M37" s="94"/>
      <c r="N37" s="263"/>
      <c r="O37" s="263"/>
      <c r="P37" s="87"/>
    </row>
    <row r="38" spans="1:16">
      <c r="A38" s="180"/>
      <c r="B38" s="99"/>
      <c r="C38" s="99"/>
      <c r="D38" s="180"/>
      <c r="E38" s="180"/>
      <c r="F38" s="180"/>
      <c r="G38" s="99"/>
      <c r="H38" s="99"/>
      <c r="I38" s="94"/>
      <c r="J38" s="94"/>
      <c r="K38" s="94"/>
      <c r="L38" s="94"/>
      <c r="M38" s="94"/>
      <c r="N38" s="263"/>
      <c r="O38" s="263"/>
      <c r="P38" s="87"/>
    </row>
    <row r="39" spans="1:16">
      <c r="A39" s="180"/>
      <c r="B39" s="99"/>
      <c r="C39" s="99"/>
      <c r="D39" s="180"/>
      <c r="E39" s="180"/>
      <c r="F39" s="180"/>
      <c r="G39" s="99"/>
      <c r="H39" s="99"/>
      <c r="I39" s="94"/>
      <c r="J39" s="94"/>
      <c r="K39" s="94"/>
      <c r="L39" s="94"/>
      <c r="M39" s="94"/>
      <c r="N39" s="263"/>
      <c r="O39" s="263"/>
      <c r="P39" s="87"/>
    </row>
    <row r="40" spans="1:16">
      <c r="A40" s="180"/>
      <c r="B40" s="99"/>
      <c r="C40" s="99"/>
      <c r="D40" s="180"/>
      <c r="E40" s="180"/>
      <c r="F40" s="180"/>
      <c r="G40" s="99"/>
      <c r="H40" s="99"/>
      <c r="I40" s="94"/>
      <c r="J40" s="94"/>
      <c r="K40" s="94"/>
      <c r="L40" s="94"/>
      <c r="M40" s="94"/>
      <c r="N40" s="263"/>
      <c r="O40" s="263"/>
      <c r="P40" s="87"/>
    </row>
    <row r="41" spans="1:16">
      <c r="A41" s="180"/>
      <c r="B41" s="99"/>
      <c r="C41" s="99"/>
      <c r="D41" s="180"/>
      <c r="E41" s="180"/>
      <c r="F41" s="180"/>
      <c r="G41" s="99"/>
      <c r="H41" s="99"/>
      <c r="I41" s="94"/>
      <c r="J41" s="94"/>
      <c r="K41" s="94"/>
      <c r="L41" s="94"/>
      <c r="M41" s="94"/>
      <c r="N41" s="263"/>
      <c r="O41" s="263"/>
      <c r="P41" s="87"/>
    </row>
    <row r="42" spans="1:16">
      <c r="A42" s="180"/>
      <c r="B42" s="99"/>
      <c r="C42" s="99"/>
      <c r="D42" s="180"/>
      <c r="E42" s="180"/>
      <c r="F42" s="180"/>
      <c r="G42" s="99"/>
      <c r="H42" s="99"/>
      <c r="I42" s="94"/>
      <c r="J42" s="94"/>
      <c r="K42" s="94"/>
      <c r="L42" s="94"/>
      <c r="M42" s="94"/>
      <c r="N42" s="263"/>
      <c r="O42" s="263"/>
      <c r="P42" s="87"/>
    </row>
    <row r="43" spans="1:16">
      <c r="A43" s="180"/>
      <c r="B43" s="99"/>
      <c r="C43" s="99"/>
      <c r="D43" s="180"/>
      <c r="E43" s="180"/>
      <c r="F43" s="180"/>
      <c r="G43" s="99"/>
      <c r="H43" s="99"/>
      <c r="I43" s="126"/>
      <c r="J43" s="126"/>
      <c r="K43" s="126"/>
      <c r="L43" s="126"/>
      <c r="M43" s="126"/>
      <c r="N43" s="87"/>
      <c r="O43" s="87"/>
      <c r="P43" s="87"/>
    </row>
    <row r="44" spans="1:16" outlineLevel="1">
      <c r="A44" s="180"/>
      <c r="B44" s="99"/>
      <c r="C44" s="99"/>
      <c r="D44" s="180"/>
      <c r="E44" s="180"/>
      <c r="F44" s="180"/>
      <c r="G44" s="99"/>
      <c r="H44" s="99"/>
      <c r="I44" s="126"/>
      <c r="J44" s="126"/>
      <c r="K44" s="126"/>
      <c r="L44" s="126"/>
      <c r="M44" s="126"/>
      <c r="N44" s="87"/>
      <c r="O44" s="87"/>
      <c r="P44" s="87"/>
    </row>
    <row r="45" spans="1:16" outlineLevel="1">
      <c r="A45" s="180"/>
      <c r="B45" s="99"/>
      <c r="C45" s="99"/>
      <c r="D45" s="180"/>
      <c r="E45" s="180"/>
      <c r="F45" s="180"/>
      <c r="G45" s="99"/>
      <c r="H45" s="99"/>
      <c r="I45" s="126"/>
      <c r="J45" s="126"/>
      <c r="K45" s="126"/>
      <c r="L45" s="126"/>
      <c r="M45" s="126"/>
      <c r="N45" s="87"/>
      <c r="O45" s="87"/>
      <c r="P45" s="87"/>
    </row>
    <row r="46" spans="1:16" outlineLevel="1">
      <c r="A46" s="180"/>
      <c r="B46" s="99"/>
      <c r="C46" s="99"/>
      <c r="D46" s="180"/>
      <c r="E46" s="180"/>
      <c r="F46" s="180"/>
      <c r="G46" s="99"/>
      <c r="H46" s="99"/>
      <c r="I46" s="126"/>
      <c r="J46" s="126"/>
      <c r="K46" s="126"/>
      <c r="L46" s="126"/>
      <c r="M46" s="126"/>
      <c r="N46" s="87"/>
      <c r="O46" s="87"/>
      <c r="P46" s="87"/>
    </row>
    <row r="47" spans="1:16">
      <c r="A47" s="180"/>
      <c r="B47" s="99"/>
      <c r="C47" s="99"/>
      <c r="D47" s="180"/>
      <c r="E47" s="180"/>
      <c r="F47" s="180"/>
      <c r="G47" s="99"/>
      <c r="H47" s="99"/>
      <c r="I47" s="126"/>
      <c r="J47" s="126"/>
      <c r="K47" s="126"/>
      <c r="L47" s="126"/>
      <c r="M47" s="126"/>
      <c r="N47" s="87"/>
      <c r="O47" s="87"/>
      <c r="P47" s="87"/>
    </row>
    <row r="48" spans="1:16">
      <c r="A48" s="180"/>
      <c r="B48" s="99"/>
      <c r="C48" s="99"/>
      <c r="D48" s="180"/>
      <c r="E48" s="180"/>
      <c r="F48" s="180"/>
      <c r="G48" s="99"/>
      <c r="H48" s="99"/>
      <c r="I48" s="99"/>
      <c r="J48" s="99"/>
      <c r="K48" s="99"/>
      <c r="L48" s="99"/>
      <c r="M48" s="99"/>
    </row>
    <row r="49" spans="1:13">
      <c r="A49" s="180"/>
      <c r="B49" s="99"/>
      <c r="C49" s="99"/>
      <c r="D49" s="180"/>
      <c r="E49" s="180"/>
      <c r="F49" s="180"/>
      <c r="G49" s="99"/>
      <c r="H49" s="99"/>
      <c r="I49" s="99"/>
      <c r="J49" s="99"/>
      <c r="K49" s="99"/>
      <c r="L49" s="99"/>
      <c r="M49" s="99"/>
    </row>
    <row r="50" spans="1:13">
      <c r="A50" s="180"/>
      <c r="B50" s="99"/>
      <c r="C50" s="99"/>
      <c r="D50" s="180"/>
      <c r="E50" s="180"/>
      <c r="F50" s="180"/>
      <c r="G50" s="99"/>
      <c r="H50" s="99"/>
      <c r="I50" s="99"/>
      <c r="J50" s="99"/>
      <c r="K50" s="99"/>
      <c r="L50" s="99"/>
      <c r="M50" s="99"/>
    </row>
    <row r="51" spans="1:13">
      <c r="A51" s="180"/>
      <c r="B51" s="99"/>
      <c r="C51" s="99"/>
      <c r="D51" s="180"/>
      <c r="E51" s="180"/>
      <c r="F51" s="180"/>
      <c r="G51" s="99"/>
      <c r="H51" s="99"/>
      <c r="I51" s="99"/>
      <c r="J51" s="99"/>
      <c r="K51" s="99"/>
      <c r="L51" s="99"/>
      <c r="M51" s="99"/>
    </row>
    <row r="52" spans="1:13">
      <c r="A52" s="180"/>
      <c r="B52" s="99"/>
      <c r="C52" s="99"/>
      <c r="D52" s="180"/>
      <c r="E52" s="180"/>
      <c r="F52" s="180"/>
      <c r="G52" s="99"/>
      <c r="H52" s="99"/>
      <c r="I52" s="99"/>
      <c r="J52" s="99"/>
      <c r="K52" s="99"/>
      <c r="L52" s="99"/>
      <c r="M52" s="99"/>
    </row>
    <row r="53" spans="1:13">
      <c r="A53" s="180"/>
      <c r="B53" s="99"/>
      <c r="C53" s="99"/>
      <c r="D53" s="180"/>
      <c r="E53" s="180"/>
      <c r="F53" s="180"/>
      <c r="G53" s="99"/>
      <c r="H53" s="99"/>
      <c r="I53" s="99"/>
      <c r="J53" s="99"/>
      <c r="K53" s="99"/>
      <c r="L53" s="99"/>
      <c r="M53" s="99"/>
    </row>
    <row r="54" spans="1:13">
      <c r="A54" s="180"/>
      <c r="B54" s="99"/>
      <c r="C54" s="99"/>
      <c r="D54" s="180"/>
      <c r="E54" s="180"/>
      <c r="F54" s="180"/>
      <c r="G54" s="99"/>
      <c r="H54" s="99"/>
      <c r="I54" s="99"/>
      <c r="J54" s="99"/>
      <c r="K54" s="99"/>
      <c r="L54" s="99"/>
      <c r="M54" s="99"/>
    </row>
    <row r="55" spans="1:13">
      <c r="A55" s="180"/>
      <c r="B55" s="99"/>
      <c r="C55" s="99"/>
      <c r="D55" s="180"/>
      <c r="E55" s="180"/>
      <c r="F55" s="180"/>
      <c r="G55" s="99"/>
      <c r="H55" s="99"/>
      <c r="I55" s="99"/>
      <c r="J55" s="99"/>
      <c r="K55" s="99"/>
      <c r="L55" s="99"/>
      <c r="M55" s="99"/>
    </row>
    <row r="56" spans="1:13">
      <c r="A56" s="180"/>
      <c r="B56" s="99"/>
      <c r="C56" s="99"/>
      <c r="D56" s="180"/>
      <c r="E56" s="180"/>
      <c r="F56" s="180"/>
      <c r="G56" s="99"/>
      <c r="H56" s="99"/>
      <c r="I56" s="99"/>
      <c r="J56" s="99"/>
      <c r="K56" s="99"/>
      <c r="L56" s="99"/>
      <c r="M56" s="99"/>
    </row>
    <row r="57" spans="1:13">
      <c r="A57" s="180"/>
      <c r="B57" s="99"/>
      <c r="C57" s="99"/>
      <c r="D57" s="180"/>
      <c r="E57" s="180"/>
      <c r="F57" s="180"/>
      <c r="G57" s="99"/>
      <c r="H57" s="99"/>
      <c r="I57" s="99"/>
      <c r="J57" s="99"/>
      <c r="K57" s="99"/>
      <c r="L57" s="99"/>
      <c r="M57" s="99"/>
    </row>
    <row r="58" spans="1:13">
      <c r="A58" s="180"/>
      <c r="B58" s="99"/>
      <c r="C58" s="99"/>
      <c r="D58" s="180"/>
      <c r="E58" s="180"/>
      <c r="F58" s="182"/>
      <c r="G58" s="99"/>
      <c r="H58" s="99"/>
      <c r="I58" s="99"/>
      <c r="J58" s="99"/>
      <c r="K58" s="99"/>
      <c r="L58" s="99"/>
      <c r="M58" s="99"/>
    </row>
    <row r="59" spans="1:13">
      <c r="A59" s="180"/>
      <c r="B59" s="99"/>
      <c r="C59" s="99"/>
      <c r="D59" s="180"/>
      <c r="E59" s="180"/>
      <c r="F59" s="180"/>
      <c r="G59" s="99"/>
      <c r="H59" s="99"/>
      <c r="I59" s="99"/>
      <c r="J59" s="99"/>
      <c r="K59" s="99"/>
      <c r="L59" s="99"/>
      <c r="M59" s="99"/>
    </row>
    <row r="60" spans="1:13" outlineLevel="1">
      <c r="A60" s="180"/>
      <c r="B60" s="180"/>
      <c r="C60" s="182"/>
      <c r="D60" s="180"/>
      <c r="E60" s="180"/>
      <c r="F60" s="180"/>
      <c r="G60" s="99"/>
      <c r="H60" s="99"/>
      <c r="I60" s="99"/>
      <c r="J60" s="99"/>
      <c r="K60" s="99"/>
      <c r="L60" s="99"/>
      <c r="M60" s="99"/>
    </row>
    <row r="61" spans="1:13">
      <c r="A61" s="180"/>
      <c r="B61" s="180"/>
      <c r="C61" s="180"/>
      <c r="D61" s="180"/>
      <c r="E61" s="180"/>
      <c r="F61" s="180"/>
      <c r="G61" s="99"/>
      <c r="H61" s="99"/>
      <c r="I61" s="99"/>
      <c r="J61" s="99"/>
      <c r="K61" s="99"/>
      <c r="L61" s="99"/>
      <c r="M61" s="99"/>
    </row>
    <row r="62" spans="1:13" outlineLevel="1">
      <c r="A62" s="180"/>
      <c r="B62" s="183"/>
      <c r="C62" s="184"/>
      <c r="D62" s="183"/>
      <c r="E62" s="180"/>
      <c r="F62" s="180"/>
      <c r="G62" s="99"/>
      <c r="H62" s="99"/>
      <c r="I62" s="99"/>
      <c r="J62" s="99"/>
      <c r="K62" s="99"/>
      <c r="L62" s="99"/>
      <c r="M62" s="99"/>
    </row>
    <row r="63" spans="1:13">
      <c r="A63" s="1"/>
      <c r="E63" s="4"/>
      <c r="F63" s="1"/>
      <c r="G63" s="99"/>
      <c r="H63" s="99"/>
      <c r="I63" s="99"/>
      <c r="J63" s="99"/>
      <c r="K63" s="99"/>
      <c r="L63" s="99"/>
      <c r="M63" s="99"/>
    </row>
    <row r="64" spans="1:13">
      <c r="A64" s="1"/>
      <c r="F64" s="1"/>
    </row>
    <row r="65" spans="1:6">
      <c r="A65" s="1"/>
      <c r="F65" s="1"/>
    </row>
  </sheetData>
  <sheetProtection algorithmName="SHA-512" hashValue="T63HlRWgV4jS1cE4z3EgguFV/RhNSc9lYg9cPK/10EpcbKk/gTTUjxHtKv9vPnuVsdUJTOWoOXp64jqHPWVAHA==" saltValue="Cd2sCphOof+k9T3zip9OlA==" spinCount="100000" sheet="1" sort="0" autoFilter="0" pivotTables="0"/>
  <phoneticPr fontId="6" type="noConversion"/>
  <conditionalFormatting sqref="C24">
    <cfRule type="cellIs" dxfId="27" priority="1" operator="lessThan">
      <formula>0</formula>
    </cfRule>
    <cfRule type="cellIs" dxfId="26" priority="2" operator="equal">
      <formula>0</formula>
    </cfRule>
    <cfRule type="cellIs" dxfId="25" priority="3" operator="greaterThan">
      <formula>0</formula>
    </cfRule>
  </conditionalFormatting>
  <dataValidations count="1">
    <dataValidation type="list" allowBlank="1" showInputMessage="1" showErrorMessage="1" errorTitle="Fehler" error="Bitte wählen Sie einen Wert aus der Liste aus. Klicken Sie dazu auf den Pfeil neben dieser zelle!" promptTitle="Bitte Wert auswählen" prompt="Wählen Sie hier den Famielienstand aus" sqref="H17" xr:uid="{448D222D-8679-4F63-819F-826D71825CD1}">
      <formula1>"ledig,verheiratet"</formula1>
    </dataValidation>
  </dataValidations>
  <hyperlinks>
    <hyperlink ref="F36" location="'Eingabe Käuferdaten'!A1" display="Menü" xr:uid="{72FCFBA4-968F-40A7-ACE1-707C32CD096E}"/>
  </hyperlinks>
  <pageMargins left="1.1811023622047245" right="0.59055118110236227" top="0.98425196850393704" bottom="0.59055118110236227" header="0.51181102362204722" footer="0.51181102362204722"/>
  <pageSetup paperSize="9" scale="81"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Title="Fehler" error="Bitte wählen Sie einen Wert aus der Liste aus. Klicken Sie dazu auf den Pfeil neben dieser zelle!" promptTitle="Bitte Wert auswählen" prompt="Bitte wählen Sie das zu versteuernde Einkommen aus der Liste aus" xr:uid="{2366713E-4A09-419E-94BC-03582C59D107}">
          <x14:formula1>
            <xm:f>Steuertabelle!$A$3:$A$31</xm:f>
          </x14:formula1>
          <xm:sqref>H18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7059-64C1-4932-A2A7-85CF9715A4EB}">
  <sheetPr codeName="Tabelle5">
    <tabColor rgb="FF92D050"/>
    <pageSetUpPr fitToPage="1"/>
  </sheetPr>
  <dimension ref="A1:AO55"/>
  <sheetViews>
    <sheetView showGridLines="0" showRowColHeaders="0" topLeftCell="A8" zoomScaleNormal="100" workbookViewId="0">
      <selection activeCell="F41" sqref="F41"/>
    </sheetView>
  </sheetViews>
  <sheetFormatPr baseColWidth="10" defaultColWidth="10.7265625" defaultRowHeight="12.5"/>
  <cols>
    <col min="1" max="1" width="6" customWidth="1"/>
    <col min="2" max="2" width="42.26953125" customWidth="1"/>
    <col min="3" max="3" width="16.7265625" customWidth="1"/>
    <col min="5" max="5" width="22" bestFit="1" customWidth="1"/>
    <col min="6" max="6" width="17.7265625" customWidth="1"/>
    <col min="10" max="10" width="14.54296875" customWidth="1"/>
    <col min="11" max="11" width="11.81640625" bestFit="1" customWidth="1"/>
  </cols>
  <sheetData>
    <row r="1" spans="1:41">
      <c r="A1" s="99"/>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row>
    <row r="2" spans="1:41" ht="15.5">
      <c r="A2" s="99"/>
      <c r="B2" s="69" t="s">
        <v>212</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row>
    <row r="3" spans="1:41" ht="13" thickBo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row>
    <row r="4" spans="1:41" ht="16" thickBot="1">
      <c r="A4" s="99"/>
      <c r="B4" s="53"/>
      <c r="C4" s="56" t="s">
        <v>76</v>
      </c>
      <c r="D4" s="56"/>
      <c r="E4" s="244" t="s">
        <v>72</v>
      </c>
      <c r="F4" s="245" t="s">
        <v>51</v>
      </c>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row>
    <row r="5" spans="1:41" ht="15.5">
      <c r="A5" s="99"/>
      <c r="B5" s="240"/>
      <c r="C5" s="238">
        <f>'Eingabe Käuferdaten'!C8+'Eingabe Käuferdaten'!D8+'Eingabe Käuferdaten'!C9+'Eingabe Käuferdaten'!D9</f>
        <v>0</v>
      </c>
      <c r="D5" s="119"/>
      <c r="E5" s="238">
        <f>'Eingabe Käuferdaten'!C12+'Eingabe Käuferdaten'!D12+'Eingabe Käuferdaten'!C13+'Eingabe Käuferdaten'!D13+'Eingabe Käuferdaten'!C14+'Eingabe Käuferdaten'!D14+'Eingabe Käuferdaten'!C16+'Eingabe Käuferdaten'!D16+'Eingabe Käuferdaten'!C15+'Eingabe Käuferdaten'!D15</f>
        <v>0</v>
      </c>
      <c r="F5" s="23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row>
    <row r="6" spans="1:41" ht="16" thickBot="1">
      <c r="A6" s="99"/>
      <c r="B6" s="240"/>
      <c r="C6" s="238"/>
      <c r="D6" s="119"/>
      <c r="E6" s="238"/>
      <c r="F6" s="23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row>
    <row r="7" spans="1:41" ht="16" thickBot="1">
      <c r="A7" s="99"/>
      <c r="B7" s="241" t="str">
        <f>IF(F7&lt;0,"Monatliche Unterdeckung","Monatlicher Überschuss")</f>
        <v>Monatlicher Überschuss</v>
      </c>
      <c r="C7" s="242"/>
      <c r="D7" s="242"/>
      <c r="E7" s="242"/>
      <c r="F7" s="243">
        <f>C5-E5</f>
        <v>0</v>
      </c>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row>
    <row r="8" spans="1:41" ht="16" thickBot="1">
      <c r="A8" s="99"/>
      <c r="B8" s="133"/>
      <c r="C8" s="133"/>
      <c r="D8" s="133"/>
      <c r="E8" s="133"/>
      <c r="F8" s="18"/>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row>
    <row r="9" spans="1:41" ht="15.5">
      <c r="A9" s="99"/>
      <c r="B9" s="246" t="s">
        <v>343</v>
      </c>
      <c r="C9" s="247"/>
      <c r="D9" s="247"/>
      <c r="E9" s="248">
        <f>'Eingabe Käuferdaten'!C25+'Eingabe Käuferdaten'!D25</f>
        <v>0</v>
      </c>
      <c r="F9" s="250"/>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row>
    <row r="10" spans="1:41" ht="16" thickBot="1">
      <c r="A10" s="99"/>
      <c r="B10" s="240"/>
      <c r="C10" s="119"/>
      <c r="D10" s="119"/>
      <c r="E10" s="238"/>
      <c r="F10" s="24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row>
    <row r="11" spans="1:41" ht="16" thickBot="1">
      <c r="A11" s="99"/>
      <c r="B11" s="241" t="str">
        <f>IF(F11&lt;0,"Negatives Ergebnis nach Investment","Positives Ergebnis nach Investment")</f>
        <v>Positives Ergebnis nach Investment</v>
      </c>
      <c r="C11" s="242"/>
      <c r="D11" s="242"/>
      <c r="E11" s="242"/>
      <c r="F11" s="251">
        <f>F7-E9</f>
        <v>0</v>
      </c>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row>
    <row r="12" spans="1:41" ht="16" thickBot="1">
      <c r="A12" s="99"/>
      <c r="B12" s="133"/>
      <c r="C12" s="133"/>
      <c r="D12" s="133"/>
      <c r="E12" s="133"/>
      <c r="F12" s="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row>
    <row r="13" spans="1:41" ht="16" thickBot="1">
      <c r="A13" s="99"/>
      <c r="B13" s="53"/>
      <c r="C13" s="56" t="s">
        <v>173</v>
      </c>
      <c r="D13" s="56"/>
      <c r="E13" s="244" t="s">
        <v>174</v>
      </c>
      <c r="F13" s="245"/>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row>
    <row r="14" spans="1:41" ht="15.5">
      <c r="A14" s="99"/>
      <c r="B14" s="240"/>
      <c r="C14" s="238">
        <f>'Eingabe Käuferdaten'!C19+'Eingabe Käuferdaten'!D19</f>
        <v>0</v>
      </c>
      <c r="D14" s="119"/>
      <c r="E14" s="238">
        <f>'Eingabe Käuferdaten'!C22+'Eingabe Käuferdaten'!D22</f>
        <v>0</v>
      </c>
      <c r="F14" s="252"/>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row>
    <row r="15" spans="1:41" ht="16" thickBot="1">
      <c r="A15" s="99"/>
      <c r="B15" s="240"/>
      <c r="C15" s="238"/>
      <c r="D15" s="119"/>
      <c r="E15" s="238"/>
      <c r="F15" s="24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row>
    <row r="16" spans="1:41" ht="16" thickBot="1">
      <c r="A16" s="99"/>
      <c r="B16" s="241" t="str">
        <f>IF(F16&lt;0,"Negatives Vermögen","Positives Vermögen")</f>
        <v>Positives Vermögen</v>
      </c>
      <c r="C16" s="242"/>
      <c r="D16" s="242"/>
      <c r="E16" s="242"/>
      <c r="F16" s="243">
        <f>C14-E14</f>
        <v>0</v>
      </c>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row>
    <row r="17" spans="1:41" ht="16" thickBot="1">
      <c r="A17" s="99"/>
      <c r="B17" s="133"/>
      <c r="C17" s="133"/>
      <c r="D17" s="133"/>
      <c r="E17" s="133"/>
      <c r="F17" s="18"/>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row>
    <row r="18" spans="1:41" ht="15.5">
      <c r="A18" s="99"/>
      <c r="B18" s="246" t="s">
        <v>316</v>
      </c>
      <c r="C18" s="247"/>
      <c r="D18" s="247"/>
      <c r="E18" s="248">
        <f>'Eingabe Käuferdaten'!C28+'Eingabe Käuferdaten'!D28</f>
        <v>0</v>
      </c>
      <c r="F18" s="253"/>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row>
    <row r="19" spans="1:41" ht="16" thickBot="1">
      <c r="A19" s="99"/>
      <c r="B19" s="240"/>
      <c r="C19" s="119"/>
      <c r="D19" s="119"/>
      <c r="E19" s="238"/>
      <c r="F19" s="24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row>
    <row r="20" spans="1:41" ht="16" thickBot="1">
      <c r="A20" s="99"/>
      <c r="B20" s="241" t="str">
        <f>IF(F20&lt;0,"Negatives Ergebnis nach Eigenkapitaleinsatz","Positives Ergebnis nach Eigenkapitaleinsatz")</f>
        <v>Positives Ergebnis nach Eigenkapitaleinsatz</v>
      </c>
      <c r="C20" s="242"/>
      <c r="D20" s="242"/>
      <c r="E20" s="242"/>
      <c r="F20" s="243">
        <f>F16-E18</f>
        <v>0</v>
      </c>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row>
    <row r="21" spans="1:41">
      <c r="A21" s="99"/>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row>
    <row r="22" spans="1:41">
      <c r="A22" s="99"/>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row>
    <row r="23" spans="1:41">
      <c r="A23" s="99"/>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row>
    <row r="24" spans="1:41">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row>
    <row r="25" spans="1:41">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row>
    <row r="26" spans="1:41">
      <c r="A26" s="99"/>
      <c r="B26" s="99"/>
      <c r="C26" s="99"/>
      <c r="D26" s="99"/>
      <c r="E26" s="99"/>
      <c r="F26" s="111"/>
      <c r="G26" s="99"/>
      <c r="H26" s="99"/>
      <c r="I26" s="99"/>
      <c r="J26" s="94" t="s">
        <v>254</v>
      </c>
      <c r="K26" s="94"/>
      <c r="L26" s="94"/>
      <c r="M26" s="94"/>
      <c r="N26" s="94"/>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row>
    <row r="27" spans="1:41">
      <c r="A27" s="99"/>
      <c r="B27" s="99"/>
      <c r="C27" s="99"/>
      <c r="D27" s="99"/>
      <c r="E27" s="99"/>
      <c r="F27" s="99"/>
      <c r="G27" s="99"/>
      <c r="H27" s="99"/>
      <c r="I27" s="99"/>
      <c r="J27" s="94"/>
      <c r="K27" s="94"/>
      <c r="L27" s="94"/>
      <c r="M27" s="94"/>
      <c r="N27" s="94"/>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row>
    <row r="28" spans="1:41">
      <c r="A28" s="99"/>
      <c r="B28" s="99"/>
      <c r="C28" s="99"/>
      <c r="D28" s="99"/>
      <c r="E28" s="99"/>
      <c r="F28" s="99"/>
      <c r="G28" s="99"/>
      <c r="H28" s="99"/>
      <c r="I28" s="99"/>
      <c r="J28" s="94"/>
      <c r="K28" s="94" t="s">
        <v>171</v>
      </c>
      <c r="L28" s="94"/>
      <c r="M28" s="94"/>
      <c r="N28" s="94"/>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row>
    <row r="29" spans="1:41">
      <c r="A29" s="99"/>
      <c r="B29" s="99"/>
      <c r="C29" s="99"/>
      <c r="D29" s="99"/>
      <c r="E29" s="99"/>
      <c r="F29" s="99"/>
      <c r="G29" s="99"/>
      <c r="H29" s="99"/>
      <c r="I29" s="99"/>
      <c r="J29" s="94"/>
      <c r="K29" s="94" t="s">
        <v>173</v>
      </c>
      <c r="L29" s="94" t="s">
        <v>255</v>
      </c>
      <c r="M29" s="94"/>
      <c r="N29" s="94"/>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row>
    <row r="30" spans="1:41">
      <c r="A30" s="99"/>
      <c r="B30" s="99"/>
      <c r="C30" s="99"/>
      <c r="D30" s="99"/>
      <c r="E30" s="99"/>
      <c r="F30" s="99"/>
      <c r="G30" s="99"/>
      <c r="H30" s="99"/>
      <c r="I30" s="99"/>
      <c r="J30" s="94" t="s">
        <v>173</v>
      </c>
      <c r="K30" s="132">
        <f>C14</f>
        <v>0</v>
      </c>
      <c r="L30" s="94"/>
      <c r="M30" s="94"/>
      <c r="N30" s="94"/>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row>
    <row r="31" spans="1:41">
      <c r="A31" s="99"/>
      <c r="B31" s="99"/>
      <c r="C31" s="99"/>
      <c r="D31" s="99"/>
      <c r="E31" s="99"/>
      <c r="F31" s="99"/>
      <c r="G31" s="99"/>
      <c r="H31" s="99"/>
      <c r="I31" s="99"/>
      <c r="J31" s="94" t="s">
        <v>174</v>
      </c>
      <c r="K31" s="94"/>
      <c r="L31" s="132">
        <f>E14</f>
        <v>0</v>
      </c>
      <c r="M31" s="94"/>
      <c r="N31" s="94"/>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row>
    <row r="32" spans="1:41">
      <c r="A32" s="99"/>
      <c r="B32" s="99"/>
      <c r="C32" s="99"/>
      <c r="D32" s="99"/>
      <c r="E32" s="99"/>
      <c r="F32" s="99"/>
      <c r="G32" s="99"/>
      <c r="H32" s="99"/>
      <c r="I32" s="99"/>
      <c r="J32" s="94" t="s">
        <v>241</v>
      </c>
      <c r="K32" s="94"/>
      <c r="L32" s="129">
        <f>F16</f>
        <v>0</v>
      </c>
      <c r="M32" s="94"/>
      <c r="N32" s="94"/>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row>
    <row r="33" spans="1:41">
      <c r="A33" s="99"/>
      <c r="B33" s="99"/>
      <c r="C33" s="99"/>
      <c r="D33" s="99"/>
      <c r="E33" s="99"/>
      <c r="F33" s="99"/>
      <c r="G33" s="99"/>
      <c r="H33" s="99"/>
      <c r="I33" s="99"/>
      <c r="J33" s="94"/>
      <c r="K33" s="94"/>
      <c r="L33" s="94"/>
      <c r="M33" s="94"/>
      <c r="N33" s="94"/>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row>
    <row r="34" spans="1:41">
      <c r="A34" s="99"/>
      <c r="B34" s="99"/>
      <c r="C34" s="99"/>
      <c r="D34" s="99"/>
      <c r="E34" s="99"/>
      <c r="F34" s="99"/>
      <c r="G34" s="99"/>
      <c r="H34" s="99"/>
      <c r="I34" s="99"/>
      <c r="J34" s="94"/>
      <c r="K34" s="94"/>
      <c r="L34" s="94"/>
      <c r="M34" s="94"/>
      <c r="N34" s="94"/>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row>
    <row r="35" spans="1:41">
      <c r="A35" s="99"/>
      <c r="B35" s="99"/>
      <c r="C35" s="99"/>
      <c r="D35" s="99"/>
      <c r="E35" s="99"/>
      <c r="F35" s="99"/>
      <c r="G35" s="99"/>
      <c r="H35" s="99"/>
      <c r="I35" s="99"/>
      <c r="J35" s="94" t="s">
        <v>253</v>
      </c>
      <c r="K35" s="94"/>
      <c r="L35" s="94"/>
      <c r="M35" s="94"/>
      <c r="N35" s="94"/>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row>
    <row r="36" spans="1:41">
      <c r="A36" s="99"/>
      <c r="B36" s="99"/>
      <c r="C36" s="99"/>
      <c r="D36" s="99"/>
      <c r="E36" s="99"/>
      <c r="F36" s="99"/>
      <c r="G36" s="99"/>
      <c r="H36" s="99"/>
      <c r="I36" s="99"/>
      <c r="J36" s="94"/>
      <c r="K36" s="94"/>
      <c r="L36" s="94"/>
      <c r="M36" s="94"/>
      <c r="N36" s="94"/>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row>
    <row r="37" spans="1:41">
      <c r="A37" s="99"/>
      <c r="B37" s="99"/>
      <c r="C37" s="99"/>
      <c r="D37" s="99"/>
      <c r="E37" s="99"/>
      <c r="F37" s="99"/>
      <c r="G37" s="99"/>
      <c r="H37" s="99"/>
      <c r="I37" s="99"/>
      <c r="J37" s="94"/>
      <c r="K37" s="94" t="s">
        <v>76</v>
      </c>
      <c r="L37" s="94" t="s">
        <v>256</v>
      </c>
      <c r="M37" s="94"/>
      <c r="N37" s="94"/>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row>
    <row r="38" spans="1:41">
      <c r="A38" s="99"/>
      <c r="B38" s="99"/>
      <c r="C38" s="99"/>
      <c r="D38" s="99"/>
      <c r="E38" s="99"/>
      <c r="F38" s="99"/>
      <c r="G38" s="99"/>
      <c r="H38" s="99"/>
      <c r="I38" s="99"/>
      <c r="J38" s="94" t="s">
        <v>76</v>
      </c>
      <c r="K38" s="129">
        <f>C5</f>
        <v>0</v>
      </c>
      <c r="L38" s="94"/>
      <c r="M38" s="94"/>
      <c r="N38" s="94"/>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row>
    <row r="39" spans="1:41">
      <c r="A39" s="99"/>
      <c r="B39" s="99"/>
      <c r="C39" s="99"/>
      <c r="D39" s="99"/>
      <c r="E39" s="99"/>
      <c r="F39" s="99"/>
      <c r="G39" s="99"/>
      <c r="H39" s="99"/>
      <c r="I39" s="99"/>
      <c r="J39" s="94" t="s">
        <v>72</v>
      </c>
      <c r="K39" s="94"/>
      <c r="L39" s="129">
        <f>E5</f>
        <v>0</v>
      </c>
      <c r="M39" s="94"/>
      <c r="N39" s="94"/>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row>
    <row r="40" spans="1:41">
      <c r="A40" s="99"/>
      <c r="C40" s="99"/>
      <c r="E40" s="99"/>
      <c r="G40" s="99"/>
      <c r="H40" s="99"/>
      <c r="I40" s="99"/>
      <c r="J40" s="94" t="s">
        <v>241</v>
      </c>
      <c r="K40" s="94"/>
      <c r="L40" s="129">
        <f>F7</f>
        <v>0</v>
      </c>
      <c r="M40" s="94"/>
      <c r="N40" s="94"/>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row>
    <row r="41" spans="1:41">
      <c r="A41" s="99"/>
      <c r="B41" s="157" t="s">
        <v>222</v>
      </c>
      <c r="C41" s="254" t="s">
        <v>226</v>
      </c>
      <c r="D41" s="99"/>
      <c r="E41" s="99"/>
      <c r="F41" s="159" t="s">
        <v>221</v>
      </c>
      <c r="H41" s="99"/>
      <c r="I41" s="99"/>
      <c r="J41" s="94"/>
      <c r="K41" s="94"/>
      <c r="L41" s="94"/>
      <c r="M41" s="94"/>
      <c r="N41" s="94"/>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row>
    <row r="42" spans="1:41">
      <c r="A42" s="99"/>
      <c r="C42" s="99"/>
      <c r="E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row>
    <row r="43" spans="1:41">
      <c r="A43" s="99"/>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row>
    <row r="44" spans="1:41">
      <c r="A44" s="99"/>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row>
    <row r="45" spans="1:41">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row>
    <row r="46" spans="1:41">
      <c r="A46" s="99"/>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row>
    <row r="47" spans="1:41">
      <c r="A47" s="99"/>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row>
    <row r="48" spans="1:41">
      <c r="A48" s="99"/>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row>
    <row r="49" spans="1:41">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row>
    <row r="50" spans="1:41">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row>
    <row r="51" spans="1:41">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row>
    <row r="52" spans="1:41">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row>
    <row r="53" spans="1:41">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row>
    <row r="54" spans="1:41">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row>
    <row r="55" spans="1:41">
      <c r="S55" s="99"/>
      <c r="T55" s="99"/>
      <c r="U55" s="99"/>
      <c r="V55" s="99"/>
      <c r="W55" s="99"/>
      <c r="X55" s="99"/>
      <c r="Y55" s="99"/>
      <c r="Z55" s="99"/>
      <c r="AA55" s="99"/>
      <c r="AB55" s="99"/>
      <c r="AC55" s="99"/>
      <c r="AD55" s="99"/>
      <c r="AE55" s="99"/>
      <c r="AF55" s="99"/>
      <c r="AG55" s="99"/>
      <c r="AH55" s="99"/>
      <c r="AI55" s="99"/>
      <c r="AJ55" s="99"/>
      <c r="AK55" s="99"/>
      <c r="AL55" s="99"/>
      <c r="AM55" s="99"/>
      <c r="AN55" s="99"/>
      <c r="AO55" s="99"/>
    </row>
  </sheetData>
  <sheetProtection algorithmName="SHA-512" hashValue="gvfGHe++lbyKvTmsADWN5afH1QAcPMa03nlayO+jSZ/niyqlCobIhwKv/PRCFF0Nlp7hMVnDSZYeIqBvi3pcHw==" saltValue="Dfn8PLdQoo9VR7c7Qw0AOQ==" spinCount="100000" sheet="1" objects="1" scenarios="1"/>
  <conditionalFormatting sqref="F7">
    <cfRule type="cellIs" dxfId="24" priority="1" operator="lessThan">
      <formula>0</formula>
    </cfRule>
    <cfRule type="cellIs" dxfId="23" priority="9" operator="greaterThan">
      <formula>1</formula>
    </cfRule>
  </conditionalFormatting>
  <conditionalFormatting sqref="F11">
    <cfRule type="cellIs" dxfId="22" priority="6" operator="lessThan">
      <formula>0</formula>
    </cfRule>
    <cfRule type="cellIs" dxfId="21" priority="7" operator="greaterThan">
      <formula>1</formula>
    </cfRule>
  </conditionalFormatting>
  <conditionalFormatting sqref="F16">
    <cfRule type="cellIs" dxfId="20" priority="4" operator="lessThan">
      <formula>0</formula>
    </cfRule>
    <cfRule type="cellIs" dxfId="19" priority="5" operator="greaterThan">
      <formula>1</formula>
    </cfRule>
  </conditionalFormatting>
  <conditionalFormatting sqref="F20">
    <cfRule type="cellIs" dxfId="18" priority="2" operator="lessThan">
      <formula>0</formula>
    </cfRule>
    <cfRule type="cellIs" dxfId="17" priority="3" operator="greaterThan">
      <formula>1</formula>
    </cfRule>
  </conditionalFormatting>
  <hyperlinks>
    <hyperlink ref="F41" location="Rentenlücke!A1" display="weiter" xr:uid="{73A2A600-DD36-4036-9E0A-360BD27FA790}"/>
    <hyperlink ref="B41" location="'Eingabe Kundendaten'!A1" display="zurück" xr:uid="{ED398AF2-7DC9-4E48-B66B-7C2E3640D2F2}"/>
    <hyperlink ref="C41" location="'Eingabe Käuferdaten'!A1" display="Menü" xr:uid="{DBBFC903-7887-4566-9C15-870960FCC30A}"/>
  </hyperlinks>
  <pageMargins left="0.70866141732283472" right="0.70866141732283472" top="0.78740157480314965" bottom="0.78740157480314965" header="0.31496062992125984" footer="0.31496062992125984"/>
  <pageSetup paperSize="9" scale="9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09983-3874-4438-B870-47A436F143AA}">
  <sheetPr codeName="Tabelle6">
    <tabColor rgb="FF92D050"/>
    <pageSetUpPr fitToPage="1"/>
  </sheetPr>
  <dimension ref="A1:AG167"/>
  <sheetViews>
    <sheetView topLeftCell="A18" zoomScale="85" zoomScaleNormal="85" workbookViewId="0">
      <selection activeCell="F61" sqref="F61"/>
    </sheetView>
  </sheetViews>
  <sheetFormatPr baseColWidth="10" defaultColWidth="10.7265625" defaultRowHeight="12.5"/>
  <cols>
    <col min="1" max="1" width="3.7265625" customWidth="1"/>
    <col min="2" max="2" width="62.7265625" bestFit="1" customWidth="1"/>
    <col min="3" max="3" width="23.26953125" customWidth="1"/>
    <col min="4" max="4" width="16.1796875" customWidth="1"/>
    <col min="5" max="5" width="62.7265625" bestFit="1" customWidth="1"/>
    <col min="6" max="6" width="23.1796875" customWidth="1"/>
    <col min="7" max="7" width="3.81640625" customWidth="1"/>
    <col min="8" max="8" width="10" bestFit="1" customWidth="1"/>
    <col min="9" max="9" width="20.7265625" customWidth="1"/>
    <col min="10" max="10" width="22.54296875" customWidth="1"/>
    <col min="11" max="11" width="12.81640625" bestFit="1" customWidth="1"/>
    <col min="12" max="12" width="12.7265625" bestFit="1" customWidth="1"/>
  </cols>
  <sheetData>
    <row r="1" spans="1:29" ht="14.5">
      <c r="A1" s="99"/>
      <c r="B1" s="99"/>
      <c r="C1" s="99"/>
      <c r="D1" s="99"/>
      <c r="E1" s="99"/>
      <c r="F1" s="99"/>
      <c r="G1" s="397"/>
      <c r="H1" s="398"/>
      <c r="I1" s="398"/>
      <c r="J1" s="398"/>
      <c r="K1" s="398" t="s">
        <v>195</v>
      </c>
      <c r="L1" s="398" t="s">
        <v>196</v>
      </c>
      <c r="M1" s="397"/>
      <c r="N1" s="397"/>
      <c r="O1" s="397"/>
      <c r="P1" s="126"/>
      <c r="Q1" s="126"/>
      <c r="R1" s="126"/>
      <c r="S1" s="87"/>
      <c r="T1" s="87"/>
      <c r="U1" s="87"/>
      <c r="V1" s="87"/>
      <c r="W1" s="360"/>
      <c r="X1" s="360"/>
      <c r="Y1" s="360"/>
      <c r="Z1" s="360"/>
      <c r="AA1" s="360"/>
      <c r="AB1" s="360"/>
      <c r="AC1" s="360"/>
    </row>
    <row r="2" spans="1:29" ht="15.5">
      <c r="A2" s="99"/>
      <c r="B2" s="69" t="str">
        <f>"Rentenlückenrechner für"&amp;" "&amp;'Eingabe Käuferdaten'!C5</f>
        <v xml:space="preserve">Rentenlückenrechner für </v>
      </c>
      <c r="C2" s="99"/>
      <c r="D2" s="134"/>
      <c r="E2" s="69" t="str">
        <f>"Rentenlückenrechner für"&amp;" "&amp;'Eingabe Käuferdaten'!D5</f>
        <v xml:space="preserve">Rentenlückenrechner für </v>
      </c>
      <c r="F2" s="71"/>
      <c r="G2" s="397"/>
      <c r="H2" s="398"/>
      <c r="I2" s="398"/>
      <c r="J2" s="398"/>
      <c r="K2" s="398">
        <v>1</v>
      </c>
      <c r="L2" s="398">
        <v>2</v>
      </c>
      <c r="M2" s="397"/>
      <c r="N2" s="397"/>
      <c r="O2" s="397"/>
      <c r="P2" s="126"/>
      <c r="Q2" s="126"/>
      <c r="R2" s="126"/>
      <c r="S2" s="87"/>
      <c r="T2" s="87"/>
      <c r="U2" s="87"/>
      <c r="V2" s="87"/>
      <c r="W2" s="360"/>
      <c r="X2" s="360"/>
      <c r="Y2" s="360"/>
      <c r="Z2" s="360"/>
      <c r="AA2" s="360"/>
      <c r="AB2" s="360"/>
      <c r="AC2" s="360"/>
    </row>
    <row r="3" spans="1:29" ht="16" thickBot="1">
      <c r="A3" s="99"/>
      <c r="B3" s="99"/>
      <c r="C3" s="72" t="s">
        <v>197</v>
      </c>
      <c r="D3" s="134"/>
      <c r="E3" s="124"/>
      <c r="F3" s="72" t="s">
        <v>197</v>
      </c>
      <c r="G3" s="397"/>
      <c r="H3" s="398"/>
      <c r="I3" s="398"/>
      <c r="J3" s="398"/>
      <c r="K3" s="398">
        <v>1.5</v>
      </c>
      <c r="L3" s="398">
        <v>3</v>
      </c>
      <c r="M3" s="397"/>
      <c r="N3" s="397"/>
      <c r="O3" s="397"/>
      <c r="P3" s="126"/>
      <c r="Q3" s="126"/>
      <c r="R3" s="126"/>
      <c r="S3" s="87"/>
      <c r="T3" s="87"/>
      <c r="U3" s="87"/>
      <c r="V3" s="87"/>
      <c r="W3" s="360"/>
      <c r="X3" s="360"/>
      <c r="Y3" s="360"/>
      <c r="Z3" s="360"/>
      <c r="AA3" s="360"/>
      <c r="AB3" s="360"/>
      <c r="AC3" s="360"/>
    </row>
    <row r="4" spans="1:29" ht="15.5">
      <c r="A4" s="99"/>
      <c r="B4" s="135" t="s">
        <v>328</v>
      </c>
      <c r="C4" s="136">
        <f>'Eingabe Käuferdaten'!C8</f>
        <v>0</v>
      </c>
      <c r="D4" s="134"/>
      <c r="E4" s="137" t="s">
        <v>328</v>
      </c>
      <c r="F4" s="138">
        <f>'Eingabe Käuferdaten'!D8</f>
        <v>0</v>
      </c>
      <c r="G4" s="397"/>
      <c r="H4" s="398"/>
      <c r="I4" s="398"/>
      <c r="J4" s="398"/>
      <c r="K4" s="398">
        <v>2</v>
      </c>
      <c r="L4" s="398">
        <v>4</v>
      </c>
      <c r="M4" s="397"/>
      <c r="N4" s="397"/>
      <c r="O4" s="397"/>
      <c r="P4" s="126"/>
      <c r="Q4" s="126"/>
      <c r="R4" s="126"/>
      <c r="S4" s="87"/>
      <c r="T4" s="87"/>
      <c r="U4" s="87"/>
      <c r="V4" s="87"/>
      <c r="W4" s="87"/>
      <c r="X4" s="87"/>
      <c r="Y4" s="87"/>
      <c r="Z4" s="360"/>
      <c r="AA4" s="360"/>
      <c r="AB4" s="360"/>
      <c r="AC4" s="360"/>
    </row>
    <row r="5" spans="1:29" ht="16" thickBot="1">
      <c r="A5" s="99"/>
      <c r="B5" s="139" t="s">
        <v>325</v>
      </c>
      <c r="C5" s="140">
        <f>'Eingabe Käuferdaten'!C31</f>
        <v>0</v>
      </c>
      <c r="D5" s="134"/>
      <c r="E5" s="141" t="s">
        <v>325</v>
      </c>
      <c r="F5" s="142">
        <f>'Eingabe Käuferdaten'!D31</f>
        <v>0</v>
      </c>
      <c r="G5" s="397"/>
      <c r="H5" s="398"/>
      <c r="I5" s="398"/>
      <c r="J5" s="398"/>
      <c r="K5" s="398">
        <v>2.5</v>
      </c>
      <c r="L5" s="398">
        <v>5</v>
      </c>
      <c r="M5" s="397"/>
      <c r="N5" s="397"/>
      <c r="O5" s="397"/>
      <c r="P5" s="126"/>
      <c r="Q5" s="126"/>
      <c r="R5" s="126"/>
      <c r="S5" s="87"/>
      <c r="T5" s="87"/>
      <c r="U5" s="87"/>
      <c r="V5" s="87"/>
      <c r="W5" s="87"/>
      <c r="X5" s="87"/>
      <c r="Y5" s="87"/>
      <c r="Z5" s="360"/>
      <c r="AA5" s="360"/>
      <c r="AB5" s="360"/>
      <c r="AC5" s="360"/>
    </row>
    <row r="6" spans="1:29" ht="16" thickBot="1">
      <c r="A6" s="99"/>
      <c r="B6" s="124"/>
      <c r="C6" s="143"/>
      <c r="D6" s="134"/>
      <c r="E6" s="124"/>
      <c r="F6" s="143"/>
      <c r="G6" s="397"/>
      <c r="H6" s="398"/>
      <c r="I6" s="398"/>
      <c r="J6" s="398"/>
      <c r="K6" s="398">
        <v>3</v>
      </c>
      <c r="L6" s="398">
        <v>6</v>
      </c>
      <c r="M6" s="397"/>
      <c r="N6" s="397"/>
      <c r="O6" s="397"/>
      <c r="P6" s="126"/>
      <c r="Q6" s="126"/>
      <c r="R6" s="126"/>
      <c r="S6" s="87"/>
      <c r="T6" s="87"/>
      <c r="U6" s="87"/>
      <c r="V6" s="87"/>
      <c r="W6" s="87"/>
      <c r="X6" s="87"/>
      <c r="Y6" s="87"/>
      <c r="Z6" s="360"/>
      <c r="AA6" s="360"/>
      <c r="AB6" s="360"/>
      <c r="AC6" s="360"/>
    </row>
    <row r="7" spans="1:29" ht="15.5">
      <c r="A7" s="99"/>
      <c r="B7" s="137" t="s">
        <v>175</v>
      </c>
      <c r="C7" s="138">
        <f>'Eingabe Käuferdaten'!C32</f>
        <v>0</v>
      </c>
      <c r="D7" s="134"/>
      <c r="E7" s="137" t="s">
        <v>175</v>
      </c>
      <c r="F7" s="138">
        <f>'Eingabe Käuferdaten'!D32</f>
        <v>0</v>
      </c>
      <c r="G7" s="397"/>
      <c r="H7" s="398"/>
      <c r="I7" s="398"/>
      <c r="J7" s="398"/>
      <c r="K7" s="398">
        <v>3.5</v>
      </c>
      <c r="L7" s="398">
        <v>7</v>
      </c>
      <c r="M7" s="397"/>
      <c r="N7" s="397"/>
      <c r="O7" s="397"/>
      <c r="P7" s="126"/>
      <c r="Q7" s="126"/>
      <c r="R7" s="126"/>
      <c r="S7" s="87"/>
      <c r="T7" s="87"/>
      <c r="U7" s="87"/>
      <c r="V7" s="87"/>
      <c r="W7" s="87"/>
      <c r="X7" s="87"/>
      <c r="Y7" s="87"/>
      <c r="Z7" s="360"/>
      <c r="AA7" s="360"/>
      <c r="AB7" s="360"/>
      <c r="AC7" s="360"/>
    </row>
    <row r="8" spans="1:29" ht="15.5">
      <c r="A8" s="99"/>
      <c r="B8" s="144" t="s">
        <v>307</v>
      </c>
      <c r="C8" s="145">
        <f>'Eingabe Käuferdaten'!C33</f>
        <v>0</v>
      </c>
      <c r="D8" s="134"/>
      <c r="E8" s="144" t="s">
        <v>307</v>
      </c>
      <c r="F8" s="145">
        <f>'Eingabe Käuferdaten'!D33</f>
        <v>0</v>
      </c>
      <c r="G8" s="397"/>
      <c r="H8" s="398"/>
      <c r="I8" s="398"/>
      <c r="J8" s="398"/>
      <c r="K8" s="398">
        <v>4</v>
      </c>
      <c r="L8" s="398">
        <v>8</v>
      </c>
      <c r="M8" s="397"/>
      <c r="N8" s="397"/>
      <c r="O8" s="397"/>
      <c r="P8" s="126"/>
      <c r="Q8" s="126"/>
      <c r="R8" s="126"/>
      <c r="S8" s="87"/>
      <c r="T8" s="87"/>
      <c r="U8" s="87"/>
      <c r="V8" s="87"/>
      <c r="W8" s="87"/>
      <c r="X8" s="87"/>
      <c r="Y8" s="87"/>
      <c r="Z8" s="360"/>
      <c r="AA8" s="360"/>
      <c r="AB8" s="360"/>
      <c r="AC8" s="360"/>
    </row>
    <row r="9" spans="1:29" ht="15.5">
      <c r="A9" s="99"/>
      <c r="B9" s="144" t="s">
        <v>308</v>
      </c>
      <c r="C9" s="145">
        <f>'Eingabe Käuferdaten'!C34</f>
        <v>0</v>
      </c>
      <c r="D9" s="134"/>
      <c r="E9" s="144" t="s">
        <v>308</v>
      </c>
      <c r="F9" s="145">
        <f>'Eingabe Käuferdaten'!D34</f>
        <v>0</v>
      </c>
      <c r="G9" s="397"/>
      <c r="H9" s="398"/>
      <c r="I9" s="398"/>
      <c r="J9" s="398"/>
      <c r="K9" s="398">
        <v>5</v>
      </c>
      <c r="L9" s="398">
        <v>9</v>
      </c>
      <c r="M9" s="397"/>
      <c r="N9" s="397"/>
      <c r="O9" s="397"/>
      <c r="P9" s="126"/>
      <c r="Q9" s="126"/>
      <c r="R9" s="126"/>
      <c r="S9" s="87"/>
      <c r="T9" s="87"/>
      <c r="U9" s="87"/>
      <c r="V9" s="87"/>
      <c r="W9" s="87"/>
      <c r="X9" s="87"/>
      <c r="Y9" s="87"/>
      <c r="Z9" s="360"/>
      <c r="AA9" s="360"/>
      <c r="AB9" s="360"/>
      <c r="AC9" s="360"/>
    </row>
    <row r="10" spans="1:29" ht="15.5">
      <c r="A10" s="99"/>
      <c r="B10" s="144" t="s">
        <v>329</v>
      </c>
      <c r="C10" s="145">
        <f>'Eingabe Käuferdaten'!C35</f>
        <v>0</v>
      </c>
      <c r="D10" s="134"/>
      <c r="E10" s="144" t="s">
        <v>329</v>
      </c>
      <c r="F10" s="145">
        <f>'Eingabe Käuferdaten'!D35</f>
        <v>0</v>
      </c>
      <c r="G10" s="397"/>
      <c r="H10" s="398"/>
      <c r="I10" s="398"/>
      <c r="J10" s="398"/>
      <c r="K10" s="398">
        <v>6</v>
      </c>
      <c r="L10" s="398">
        <v>10</v>
      </c>
      <c r="M10" s="397"/>
      <c r="N10" s="397"/>
      <c r="O10" s="397"/>
      <c r="P10" s="126"/>
      <c r="Q10" s="126"/>
      <c r="R10" s="126"/>
      <c r="S10" s="87"/>
      <c r="T10" s="87"/>
      <c r="U10" s="87"/>
      <c r="V10" s="87"/>
      <c r="W10" s="87"/>
      <c r="X10" s="87"/>
      <c r="Y10" s="87"/>
      <c r="Z10" s="360"/>
      <c r="AA10" s="360"/>
      <c r="AB10" s="360"/>
      <c r="AC10" s="360"/>
    </row>
    <row r="11" spans="1:29" ht="16" thickBot="1">
      <c r="A11" s="99"/>
      <c r="B11" s="146" t="s">
        <v>198</v>
      </c>
      <c r="C11" s="147">
        <f>SUM(C7:C10)</f>
        <v>0</v>
      </c>
      <c r="D11" s="134"/>
      <c r="E11" s="146" t="s">
        <v>198</v>
      </c>
      <c r="F11" s="147">
        <f>SUM(F7:F10)</f>
        <v>0</v>
      </c>
      <c r="G11" s="397"/>
      <c r="H11" s="398"/>
      <c r="I11" s="398"/>
      <c r="J11" s="398"/>
      <c r="K11" s="398">
        <v>7</v>
      </c>
      <c r="L11" s="398">
        <v>11</v>
      </c>
      <c r="M11" s="397"/>
      <c r="N11" s="397"/>
      <c r="O11" s="397"/>
      <c r="P11" s="126"/>
      <c r="Q11" s="126"/>
      <c r="R11" s="126"/>
      <c r="S11" s="87"/>
      <c r="T11" s="87"/>
      <c r="U11" s="87"/>
      <c r="V11" s="87"/>
      <c r="W11" s="87"/>
      <c r="X11" s="87"/>
      <c r="Y11" s="87"/>
      <c r="Z11" s="360"/>
      <c r="AA11" s="360"/>
      <c r="AB11" s="360"/>
      <c r="AC11" s="360"/>
    </row>
    <row r="12" spans="1:29" ht="16" thickBot="1">
      <c r="A12" s="99"/>
      <c r="B12" s="124"/>
      <c r="C12" s="143"/>
      <c r="D12" s="134"/>
      <c r="E12" s="124"/>
      <c r="F12" s="143"/>
      <c r="G12" s="397"/>
      <c r="H12" s="398"/>
      <c r="I12" s="398"/>
      <c r="J12" s="398"/>
      <c r="K12" s="398">
        <v>8</v>
      </c>
      <c r="L12" s="398">
        <v>12</v>
      </c>
      <c r="M12" s="397"/>
      <c r="N12" s="397"/>
      <c r="O12" s="397"/>
      <c r="P12" s="126"/>
      <c r="Q12" s="126"/>
      <c r="R12" s="126"/>
      <c r="S12" s="87"/>
      <c r="T12" s="87"/>
      <c r="U12" s="87"/>
      <c r="V12" s="87"/>
      <c r="W12" s="87"/>
      <c r="X12" s="87"/>
      <c r="Y12" s="87"/>
      <c r="Z12" s="360"/>
      <c r="AA12" s="360"/>
      <c r="AB12" s="360"/>
      <c r="AC12" s="360"/>
    </row>
    <row r="13" spans="1:29" ht="15.5">
      <c r="A13" s="99"/>
      <c r="B13" s="137" t="s">
        <v>176</v>
      </c>
      <c r="C13" s="148">
        <f>'Eingabe Käuferdaten'!C36</f>
        <v>0</v>
      </c>
      <c r="D13" s="134"/>
      <c r="E13" s="137" t="s">
        <v>176</v>
      </c>
      <c r="F13" s="148">
        <f>'Eingabe Käuferdaten'!D36</f>
        <v>0</v>
      </c>
      <c r="G13" s="397"/>
      <c r="H13" s="398"/>
      <c r="I13" s="398"/>
      <c r="J13" s="398"/>
      <c r="K13" s="398">
        <v>9</v>
      </c>
      <c r="L13" s="398">
        <v>13</v>
      </c>
      <c r="M13" s="397"/>
      <c r="N13" s="397"/>
      <c r="O13" s="397"/>
      <c r="P13" s="126"/>
      <c r="Q13" s="126"/>
      <c r="R13" s="126"/>
      <c r="S13" s="87"/>
      <c r="T13" s="87"/>
      <c r="U13" s="87"/>
      <c r="V13" s="87"/>
      <c r="W13" s="87"/>
      <c r="X13" s="87"/>
      <c r="Y13" s="87"/>
      <c r="Z13" s="360"/>
      <c r="AA13" s="360"/>
      <c r="AB13" s="360"/>
      <c r="AC13" s="360"/>
    </row>
    <row r="14" spans="1:29" ht="15.5">
      <c r="A14" s="99"/>
      <c r="B14" s="144" t="s">
        <v>318</v>
      </c>
      <c r="C14" s="149">
        <f>'Eingabe Käuferdaten'!C39</f>
        <v>4</v>
      </c>
      <c r="D14" s="134"/>
      <c r="E14" s="144" t="s">
        <v>318</v>
      </c>
      <c r="F14" s="149">
        <f>'Eingabe Käuferdaten'!D39</f>
        <v>4</v>
      </c>
      <c r="G14" s="397"/>
      <c r="H14" s="398" t="s">
        <v>196</v>
      </c>
      <c r="I14" s="398">
        <f>VLOOKUP(C14,K2:L14,2,FALSE)</f>
        <v>8</v>
      </c>
      <c r="J14" s="398"/>
      <c r="K14" s="398">
        <v>10</v>
      </c>
      <c r="L14" s="398">
        <v>14</v>
      </c>
      <c r="M14" s="397"/>
      <c r="N14" s="397"/>
      <c r="O14" s="397"/>
      <c r="P14" s="126"/>
      <c r="Q14" s="126"/>
      <c r="R14" s="126"/>
      <c r="S14" s="87"/>
      <c r="T14" s="87"/>
      <c r="U14" s="87"/>
      <c r="V14" s="87"/>
      <c r="W14" s="87"/>
      <c r="X14" s="87"/>
      <c r="Y14" s="87"/>
      <c r="Z14" s="360"/>
      <c r="AA14" s="360"/>
      <c r="AB14" s="360"/>
      <c r="AC14" s="360"/>
    </row>
    <row r="15" spans="1:29" ht="15.5">
      <c r="A15" s="99"/>
      <c r="B15" s="144" t="s">
        <v>199</v>
      </c>
      <c r="C15" s="396" t="e">
        <f>VLOOKUP(C13,Inflationstabelle!B9:O58,I14,FALSE)</f>
        <v>#N/A</v>
      </c>
      <c r="D15" s="134"/>
      <c r="E15" s="144" t="s">
        <v>199</v>
      </c>
      <c r="F15" s="396" t="e">
        <f>VLOOKUP(F13,Inflationstabelle!B9:O58,I15,FALSE)</f>
        <v>#N/A</v>
      </c>
      <c r="G15" s="398"/>
      <c r="H15" s="398" t="s">
        <v>196</v>
      </c>
      <c r="I15" s="398">
        <f>VLOOKUP(F14,K2:L14,2,FALSE)</f>
        <v>8</v>
      </c>
      <c r="J15" s="538"/>
      <c r="K15" s="538"/>
      <c r="L15" s="538"/>
      <c r="M15" s="538"/>
      <c r="N15" s="538"/>
      <c r="O15" s="538"/>
      <c r="P15" s="126"/>
      <c r="Q15" s="126"/>
      <c r="R15" s="126"/>
      <c r="S15" s="87"/>
      <c r="T15" s="87"/>
      <c r="U15" s="87"/>
      <c r="V15" s="87"/>
      <c r="W15" s="87"/>
      <c r="X15" s="87"/>
      <c r="Y15" s="87"/>
      <c r="Z15" s="360"/>
      <c r="AA15" s="360"/>
      <c r="AB15" s="360"/>
      <c r="AC15" s="360"/>
    </row>
    <row r="16" spans="1:29" ht="15.5">
      <c r="A16" s="99"/>
      <c r="B16" s="144" t="s">
        <v>200</v>
      </c>
      <c r="C16" s="145" t="e">
        <f>C7*C15</f>
        <v>#N/A</v>
      </c>
      <c r="D16" s="134"/>
      <c r="E16" s="144" t="s">
        <v>200</v>
      </c>
      <c r="F16" s="145" t="e">
        <f>F7*F15</f>
        <v>#N/A</v>
      </c>
      <c r="G16" s="398"/>
      <c r="H16" s="398"/>
      <c r="I16" s="398"/>
      <c r="J16" s="538"/>
      <c r="K16" s="538"/>
      <c r="L16" s="538"/>
      <c r="M16" s="538"/>
      <c r="N16" s="538"/>
      <c r="O16" s="538"/>
      <c r="P16" s="126"/>
      <c r="Q16" s="126"/>
      <c r="R16" s="126"/>
      <c r="S16" s="87"/>
      <c r="T16" s="87"/>
      <c r="U16" s="87"/>
      <c r="V16" s="87"/>
      <c r="W16" s="87"/>
      <c r="X16" s="87"/>
      <c r="Y16" s="87"/>
      <c r="Z16" s="360"/>
      <c r="AA16" s="360"/>
      <c r="AB16" s="360"/>
      <c r="AC16" s="360"/>
    </row>
    <row r="17" spans="1:29" ht="16" thickBot="1">
      <c r="A17" s="99"/>
      <c r="B17" s="141" t="s">
        <v>201</v>
      </c>
      <c r="C17" s="142" t="e">
        <f>(C8+C9+C10)*C15</f>
        <v>#N/A</v>
      </c>
      <c r="D17" s="134"/>
      <c r="E17" s="141" t="s">
        <v>201</v>
      </c>
      <c r="F17" s="142" t="e">
        <f>(F8+F9+F10)*F15</f>
        <v>#N/A</v>
      </c>
      <c r="G17" s="398"/>
      <c r="H17" s="398"/>
      <c r="I17" s="398"/>
      <c r="J17" s="538"/>
      <c r="K17" s="538"/>
      <c r="L17" s="538"/>
      <c r="M17" s="538"/>
      <c r="N17" s="538"/>
      <c r="O17" s="538"/>
      <c r="P17" s="126"/>
      <c r="Q17" s="126"/>
      <c r="R17" s="126"/>
      <c r="S17" s="87"/>
      <c r="T17" s="87"/>
      <c r="U17" s="87"/>
      <c r="V17" s="87"/>
      <c r="W17" s="87"/>
      <c r="X17" s="87"/>
      <c r="Y17" s="87"/>
      <c r="Z17" s="360"/>
      <c r="AA17" s="360"/>
      <c r="AB17" s="360"/>
      <c r="AC17" s="360"/>
    </row>
    <row r="18" spans="1:29" ht="16" thickBot="1">
      <c r="A18" s="99"/>
      <c r="B18" s="124"/>
      <c r="C18" s="143"/>
      <c r="D18" s="134"/>
      <c r="E18" s="124"/>
      <c r="F18" s="143"/>
      <c r="G18" s="398"/>
      <c r="H18" s="398"/>
      <c r="I18" s="398"/>
      <c r="J18" s="538"/>
      <c r="K18" s="538"/>
      <c r="L18" s="538"/>
      <c r="M18" s="538"/>
      <c r="N18" s="538"/>
      <c r="O18" s="538"/>
      <c r="P18" s="126"/>
      <c r="Q18" s="126"/>
      <c r="R18" s="126"/>
      <c r="S18" s="87"/>
      <c r="T18" s="87"/>
      <c r="U18" s="87"/>
      <c r="V18" s="87"/>
      <c r="W18" s="87"/>
      <c r="X18" s="87"/>
      <c r="Y18" s="87"/>
      <c r="Z18" s="360"/>
      <c r="AA18" s="360"/>
      <c r="AB18" s="360"/>
      <c r="AC18" s="360"/>
    </row>
    <row r="19" spans="1:29" ht="15.5">
      <c r="A19" s="99"/>
      <c r="B19" s="137" t="s">
        <v>239</v>
      </c>
      <c r="C19" s="150">
        <f>Einstellungen!O2+Einstellungen!Q2</f>
        <v>0.10349999999999999</v>
      </c>
      <c r="D19" s="134"/>
      <c r="E19" s="137" t="s">
        <v>239</v>
      </c>
      <c r="F19" s="150">
        <f>Einstellungen!O2+Einstellungen!Q2</f>
        <v>0.10349999999999999</v>
      </c>
      <c r="G19" s="538"/>
      <c r="H19" s="538"/>
      <c r="I19" s="538"/>
      <c r="J19" s="538"/>
      <c r="K19" s="538"/>
      <c r="L19" s="538"/>
      <c r="M19" s="538"/>
      <c r="N19" s="538"/>
      <c r="O19" s="538"/>
      <c r="P19" s="126"/>
      <c r="Q19" s="126"/>
      <c r="R19" s="126"/>
      <c r="S19" s="87"/>
      <c r="T19" s="87"/>
      <c r="U19" s="87"/>
      <c r="V19" s="87"/>
      <c r="W19" s="87"/>
      <c r="X19" s="87"/>
      <c r="Y19" s="87"/>
      <c r="Z19" s="360"/>
      <c r="AA19" s="360"/>
      <c r="AB19" s="360"/>
      <c r="AC19" s="360"/>
    </row>
    <row r="20" spans="1:29" ht="15.5">
      <c r="A20" s="99"/>
      <c r="B20" s="144" t="s">
        <v>240</v>
      </c>
      <c r="C20" s="145" t="e">
        <f>(C7+C8)*C15*C19</f>
        <v>#N/A</v>
      </c>
      <c r="D20" s="134"/>
      <c r="E20" s="144" t="s">
        <v>240</v>
      </c>
      <c r="F20" s="145" t="e">
        <f>(F7+F8)*F15*F19</f>
        <v>#N/A</v>
      </c>
      <c r="G20" s="538"/>
      <c r="H20" s="538"/>
      <c r="I20" s="538"/>
      <c r="J20" s="538"/>
      <c r="K20" s="538"/>
      <c r="L20" s="538"/>
      <c r="M20" s="538"/>
      <c r="N20" s="538"/>
      <c r="O20" s="538"/>
      <c r="P20" s="126"/>
      <c r="Q20" s="126"/>
      <c r="R20" s="126"/>
      <c r="S20" s="87"/>
      <c r="T20" s="87"/>
      <c r="U20" s="87"/>
      <c r="V20" s="87"/>
      <c r="W20" s="87"/>
      <c r="X20" s="87"/>
      <c r="Y20" s="87"/>
      <c r="Z20" s="360"/>
      <c r="AA20" s="360"/>
      <c r="AB20" s="360"/>
      <c r="AC20" s="360"/>
    </row>
    <row r="21" spans="1:29" ht="15.5">
      <c r="A21" s="99"/>
      <c r="B21" s="144" t="s">
        <v>339</v>
      </c>
      <c r="C21" s="84">
        <f>'Eingabe Käuferdaten'!C45</f>
        <v>0.2</v>
      </c>
      <c r="D21" s="134"/>
      <c r="E21" s="144" t="s">
        <v>339</v>
      </c>
      <c r="F21" s="84">
        <f>'Eingabe Käuferdaten'!D45</f>
        <v>0.2</v>
      </c>
      <c r="G21" s="538"/>
      <c r="H21" s="538"/>
      <c r="I21" s="538"/>
      <c r="J21" s="538"/>
      <c r="K21" s="538"/>
      <c r="L21" s="538"/>
      <c r="M21" s="538"/>
      <c r="N21" s="538"/>
      <c r="O21" s="538"/>
      <c r="P21" s="126"/>
      <c r="Q21" s="126"/>
      <c r="R21" s="126"/>
      <c r="S21" s="87"/>
      <c r="T21" s="87"/>
      <c r="U21" s="87"/>
      <c r="V21" s="87"/>
      <c r="W21" s="87"/>
      <c r="X21" s="87"/>
      <c r="Y21" s="87"/>
      <c r="Z21" s="360"/>
      <c r="AA21" s="360"/>
      <c r="AB21" s="360"/>
      <c r="AC21" s="360"/>
    </row>
    <row r="22" spans="1:29" ht="16" thickBot="1">
      <c r="A22" s="99"/>
      <c r="B22" s="141" t="s">
        <v>202</v>
      </c>
      <c r="C22" s="142" t="e">
        <f>C16*C21</f>
        <v>#N/A</v>
      </c>
      <c r="D22" s="134"/>
      <c r="E22" s="141" t="s">
        <v>202</v>
      </c>
      <c r="F22" s="142" t="e">
        <f>F16*F21</f>
        <v>#N/A</v>
      </c>
      <c r="G22" s="538"/>
      <c r="H22" s="538"/>
      <c r="I22" s="538"/>
      <c r="J22" s="538"/>
      <c r="K22" s="538"/>
      <c r="L22" s="538"/>
      <c r="M22" s="538"/>
      <c r="N22" s="538"/>
      <c r="O22" s="538"/>
      <c r="P22" s="126"/>
      <c r="Q22" s="126"/>
      <c r="R22" s="126"/>
      <c r="S22" s="87"/>
      <c r="T22" s="87"/>
      <c r="U22" s="87"/>
      <c r="V22" s="87"/>
      <c r="W22" s="87"/>
      <c r="X22" s="87"/>
      <c r="Y22" s="87"/>
      <c r="Z22" s="360"/>
      <c r="AA22" s="360"/>
      <c r="AB22" s="360"/>
      <c r="AC22" s="360"/>
    </row>
    <row r="23" spans="1:29" ht="16" thickBot="1">
      <c r="A23" s="99"/>
      <c r="B23" s="124"/>
      <c r="C23" s="143"/>
      <c r="D23" s="134"/>
      <c r="E23" s="124"/>
      <c r="F23" s="143"/>
      <c r="G23" s="538"/>
      <c r="H23" s="538"/>
      <c r="I23" s="538"/>
      <c r="J23" s="538"/>
      <c r="K23" s="538"/>
      <c r="L23" s="538"/>
      <c r="M23" s="538"/>
      <c r="N23" s="538"/>
      <c r="O23" s="538"/>
      <c r="P23" s="126"/>
      <c r="Q23" s="126"/>
      <c r="R23" s="126"/>
      <c r="S23" s="87"/>
      <c r="T23" s="87"/>
      <c r="U23" s="87"/>
      <c r="V23" s="87"/>
      <c r="W23" s="87"/>
      <c r="X23" s="87"/>
      <c r="Y23" s="87"/>
      <c r="Z23" s="360"/>
      <c r="AA23" s="360"/>
      <c r="AB23" s="360"/>
      <c r="AC23" s="360"/>
    </row>
    <row r="24" spans="1:29" ht="16" thickBot="1">
      <c r="A24" s="99"/>
      <c r="B24" s="17" t="s">
        <v>203</v>
      </c>
      <c r="C24" s="73" t="e">
        <f>C16+C17-C20-C22</f>
        <v>#N/A</v>
      </c>
      <c r="D24" s="134"/>
      <c r="E24" s="17" t="s">
        <v>203</v>
      </c>
      <c r="F24" s="73" t="e">
        <f>F16+F17-F20-F22</f>
        <v>#N/A</v>
      </c>
      <c r="G24" s="538"/>
      <c r="H24" s="538"/>
      <c r="I24" s="538"/>
      <c r="J24" s="538"/>
      <c r="K24" s="538"/>
      <c r="L24" s="538"/>
      <c r="M24" s="538"/>
      <c r="N24" s="538"/>
      <c r="O24" s="538"/>
      <c r="P24" s="126"/>
      <c r="Q24" s="126"/>
      <c r="R24" s="126"/>
      <c r="S24" s="87"/>
      <c r="T24" s="87"/>
      <c r="U24" s="87"/>
      <c r="V24" s="87"/>
      <c r="W24" s="87"/>
      <c r="X24" s="87"/>
      <c r="Y24" s="87"/>
      <c r="Z24" s="360"/>
      <c r="AA24" s="360"/>
      <c r="AB24" s="360"/>
      <c r="AC24" s="360"/>
    </row>
    <row r="25" spans="1:29" ht="15" thickBot="1">
      <c r="A25" s="99"/>
      <c r="B25" s="99"/>
      <c r="C25" s="99"/>
      <c r="E25" s="99"/>
      <c r="F25" s="99"/>
      <c r="G25" s="538"/>
      <c r="H25" s="538"/>
      <c r="I25" s="538"/>
      <c r="J25" s="538"/>
      <c r="K25" s="538"/>
      <c r="L25" s="538"/>
      <c r="M25" s="538"/>
      <c r="N25" s="538"/>
      <c r="O25" s="538"/>
      <c r="P25" s="126"/>
      <c r="Q25" s="126"/>
      <c r="R25" s="126"/>
      <c r="S25" s="87"/>
      <c r="T25" s="87"/>
      <c r="U25" s="87"/>
      <c r="V25" s="87"/>
      <c r="W25" s="87"/>
      <c r="X25" s="87"/>
      <c r="Y25" s="87"/>
      <c r="Z25" s="360"/>
      <c r="AA25" s="360"/>
      <c r="AB25" s="360"/>
      <c r="AC25" s="360"/>
    </row>
    <row r="26" spans="1:29" ht="16" thickBot="1">
      <c r="A26" s="99"/>
      <c r="B26" s="151" t="s">
        <v>327</v>
      </c>
      <c r="C26" s="152">
        <f>'Eingabe Käuferdaten'!C9</f>
        <v>0</v>
      </c>
      <c r="D26" s="134"/>
      <c r="E26" s="151" t="s">
        <v>327</v>
      </c>
      <c r="F26" s="152">
        <f>'Eingabe Käuferdaten'!D9</f>
        <v>0</v>
      </c>
      <c r="G26" s="538"/>
      <c r="H26" s="538"/>
      <c r="I26" s="538"/>
      <c r="J26" s="538"/>
      <c r="K26" s="538"/>
      <c r="L26" s="538"/>
      <c r="M26" s="538"/>
      <c r="N26" s="538"/>
      <c r="O26" s="538"/>
      <c r="P26" s="126"/>
      <c r="Q26" s="126"/>
      <c r="R26" s="126"/>
      <c r="S26" s="87"/>
      <c r="T26" s="87"/>
      <c r="U26" s="87"/>
      <c r="V26" s="87"/>
      <c r="W26" s="87"/>
      <c r="X26" s="87"/>
      <c r="Y26" s="87"/>
      <c r="Z26" s="360"/>
      <c r="AA26" s="360"/>
      <c r="AB26" s="360"/>
      <c r="AC26" s="360"/>
    </row>
    <row r="27" spans="1:29" s="99" customFormat="1" ht="16" thickBot="1">
      <c r="B27" s="124"/>
      <c r="C27" s="124"/>
      <c r="D27" s="134"/>
      <c r="E27" s="124"/>
      <c r="F27" s="124"/>
      <c r="G27" s="160"/>
      <c r="H27" s="160"/>
      <c r="I27" s="160"/>
      <c r="J27" s="160"/>
      <c r="K27" s="160"/>
      <c r="L27" s="160"/>
      <c r="M27" s="160"/>
      <c r="N27" s="160"/>
      <c r="O27" s="160"/>
      <c r="P27" s="126"/>
      <c r="Q27" s="126"/>
      <c r="R27" s="126"/>
      <c r="S27" s="126"/>
      <c r="T27" s="126"/>
      <c r="U27" s="126"/>
      <c r="V27" s="126"/>
      <c r="W27" s="126"/>
      <c r="X27" s="126"/>
      <c r="Y27" s="126"/>
      <c r="Z27" s="356"/>
      <c r="AA27" s="356"/>
      <c r="AB27" s="356"/>
      <c r="AC27" s="356"/>
    </row>
    <row r="28" spans="1:29" ht="16" thickBot="1">
      <c r="A28" s="99"/>
      <c r="B28" s="53" t="s">
        <v>204</v>
      </c>
      <c r="C28" s="74" t="e">
        <f>C24+C26-C5</f>
        <v>#N/A</v>
      </c>
      <c r="D28" s="70"/>
      <c r="E28" s="53" t="s">
        <v>204</v>
      </c>
      <c r="F28" s="74" t="e">
        <f>F24+F26-F5</f>
        <v>#N/A</v>
      </c>
      <c r="G28" s="160"/>
      <c r="H28" s="160"/>
      <c r="I28" s="160"/>
      <c r="J28" s="126"/>
      <c r="K28" s="160"/>
      <c r="L28" s="160"/>
      <c r="M28" s="160"/>
      <c r="N28" s="160"/>
      <c r="O28" s="160"/>
      <c r="P28" s="126"/>
      <c r="Q28" s="126"/>
      <c r="R28" s="126"/>
      <c r="S28" s="87"/>
      <c r="T28" s="87"/>
      <c r="U28" s="87"/>
      <c r="V28" s="87"/>
      <c r="W28" s="87"/>
      <c r="X28" s="87"/>
      <c r="Y28" s="87"/>
      <c r="Z28" s="360"/>
      <c r="AA28" s="360"/>
      <c r="AB28" s="360"/>
      <c r="AC28" s="360"/>
    </row>
    <row r="29" spans="1:29" ht="15.5">
      <c r="A29" s="99"/>
      <c r="B29" s="124"/>
      <c r="C29" s="124"/>
      <c r="D29" s="134"/>
      <c r="E29" s="134"/>
      <c r="F29" s="134"/>
      <c r="G29" s="160"/>
      <c r="H29" s="160"/>
      <c r="I29" s="160"/>
      <c r="J29" s="160"/>
      <c r="K29" s="160"/>
      <c r="L29" s="160"/>
      <c r="M29" s="160"/>
      <c r="N29" s="160"/>
      <c r="O29" s="160"/>
      <c r="P29" s="126"/>
      <c r="Q29" s="126"/>
      <c r="R29" s="126"/>
      <c r="S29" s="87"/>
      <c r="T29" s="87"/>
      <c r="U29" s="87"/>
      <c r="V29" s="87"/>
      <c r="W29" s="87"/>
      <c r="X29" s="87"/>
      <c r="Y29" s="87"/>
      <c r="Z29" s="360"/>
      <c r="AA29" s="360"/>
      <c r="AB29" s="360"/>
      <c r="AC29" s="360"/>
    </row>
    <row r="30" spans="1:29" ht="15.5">
      <c r="A30" s="99"/>
      <c r="B30" s="111" t="s">
        <v>222</v>
      </c>
      <c r="C30" s="99"/>
      <c r="D30" s="99"/>
      <c r="E30" s="134"/>
      <c r="F30" s="125" t="s">
        <v>220</v>
      </c>
      <c r="G30" s="160"/>
      <c r="H30" s="160"/>
      <c r="I30" s="160"/>
      <c r="J30" s="160"/>
      <c r="K30" s="160"/>
      <c r="L30" s="160"/>
      <c r="M30" s="160"/>
      <c r="N30" s="160"/>
      <c r="O30" s="160"/>
      <c r="P30" s="126"/>
      <c r="Q30" s="126"/>
      <c r="R30" s="126"/>
      <c r="S30" s="87"/>
      <c r="T30" s="87"/>
      <c r="U30" s="87"/>
      <c r="V30" s="87"/>
      <c r="W30" s="87"/>
      <c r="X30" s="87"/>
      <c r="Y30" s="87"/>
      <c r="Z30" s="360"/>
      <c r="AA30" s="360"/>
      <c r="AB30" s="360"/>
      <c r="AC30" s="360"/>
    </row>
    <row r="31" spans="1:29" ht="14.5">
      <c r="A31" s="99"/>
      <c r="B31" s="99"/>
      <c r="C31" s="99"/>
      <c r="D31" s="99"/>
      <c r="E31" s="99"/>
      <c r="F31" s="125" t="s">
        <v>221</v>
      </c>
      <c r="G31" s="160"/>
      <c r="H31" s="160"/>
      <c r="I31" s="160"/>
      <c r="J31" s="160"/>
      <c r="K31" s="160"/>
      <c r="L31" s="160"/>
      <c r="M31" s="160"/>
      <c r="N31" s="160"/>
      <c r="O31" s="160"/>
      <c r="P31" s="126"/>
      <c r="Q31" s="126"/>
      <c r="R31" s="126"/>
      <c r="S31" s="87"/>
      <c r="T31" s="87"/>
      <c r="U31" s="87"/>
      <c r="V31" s="87"/>
      <c r="W31" s="87"/>
      <c r="X31" s="87"/>
      <c r="Y31" s="87"/>
      <c r="Z31" s="360"/>
      <c r="AA31" s="360"/>
      <c r="AB31" s="360"/>
      <c r="AC31" s="360"/>
    </row>
    <row r="32" spans="1:29" ht="14.5">
      <c r="A32" s="99"/>
      <c r="B32" s="99"/>
      <c r="C32" s="99"/>
      <c r="D32" s="99"/>
      <c r="E32" s="99"/>
      <c r="F32" s="125"/>
      <c r="G32" s="160"/>
      <c r="H32" s="160"/>
      <c r="I32" s="160"/>
      <c r="J32" s="160"/>
      <c r="K32" s="160"/>
      <c r="L32" s="160"/>
      <c r="M32" s="160"/>
      <c r="N32" s="160"/>
      <c r="O32" s="160"/>
      <c r="P32" s="126"/>
      <c r="Q32" s="126"/>
      <c r="R32" s="126"/>
      <c r="S32" s="87"/>
      <c r="T32" s="87"/>
      <c r="U32" s="87"/>
      <c r="V32" s="87"/>
      <c r="W32" s="87"/>
      <c r="X32" s="87"/>
      <c r="Y32" s="87"/>
      <c r="Z32" s="360"/>
      <c r="AA32" s="360"/>
      <c r="AB32" s="360"/>
      <c r="AC32" s="360"/>
    </row>
    <row r="33" spans="1:33" ht="14.5">
      <c r="A33" s="99"/>
      <c r="B33" s="99"/>
      <c r="C33" s="99"/>
      <c r="D33" s="99"/>
      <c r="E33" s="99"/>
      <c r="F33" s="99"/>
      <c r="G33" s="160"/>
      <c r="H33" s="160"/>
      <c r="I33" s="160"/>
      <c r="J33" s="160"/>
      <c r="K33" s="160"/>
      <c r="L33" s="160"/>
      <c r="M33" s="160"/>
      <c r="N33" s="160"/>
      <c r="O33" s="160"/>
      <c r="P33" s="126"/>
      <c r="Q33" s="126"/>
      <c r="R33" s="126"/>
      <c r="S33" s="87"/>
      <c r="T33" s="87"/>
      <c r="U33" s="87"/>
      <c r="V33" s="87"/>
      <c r="W33" s="87"/>
      <c r="X33" s="87"/>
      <c r="Y33" s="87"/>
      <c r="Z33" s="360"/>
      <c r="AA33" s="360"/>
      <c r="AB33" s="360"/>
      <c r="AC33" s="360"/>
    </row>
    <row r="34" spans="1:33" ht="14.5">
      <c r="A34" s="99"/>
      <c r="B34" s="99"/>
      <c r="C34" s="99"/>
      <c r="D34" s="99"/>
      <c r="E34" s="99"/>
      <c r="F34" s="99"/>
      <c r="G34" s="160"/>
      <c r="H34" s="160"/>
      <c r="I34" s="160"/>
      <c r="J34" s="160"/>
      <c r="K34" s="160"/>
      <c r="L34" s="160"/>
      <c r="M34" s="160"/>
      <c r="N34" s="160"/>
      <c r="O34" s="160"/>
      <c r="P34" s="126"/>
      <c r="Q34" s="126"/>
      <c r="R34" s="126"/>
      <c r="S34" s="87"/>
      <c r="T34" s="87"/>
      <c r="U34" s="87"/>
      <c r="V34" s="87"/>
      <c r="W34" s="87"/>
      <c r="X34" s="87"/>
      <c r="Y34" s="87"/>
      <c r="Z34" s="360"/>
      <c r="AA34" s="360"/>
      <c r="AB34" s="360"/>
      <c r="AC34" s="360"/>
    </row>
    <row r="35" spans="1:33">
      <c r="A35" s="99"/>
      <c r="B35" s="99"/>
      <c r="C35" s="99"/>
      <c r="D35" s="99"/>
      <c r="E35" s="99"/>
      <c r="F35" s="99"/>
      <c r="G35" s="126"/>
      <c r="H35" s="126"/>
      <c r="I35" s="126"/>
      <c r="J35" s="126"/>
      <c r="K35" s="126"/>
      <c r="L35" s="126"/>
      <c r="M35" s="126"/>
      <c r="N35" s="126"/>
      <c r="O35" s="126"/>
      <c r="P35" s="126"/>
      <c r="Q35" s="126"/>
      <c r="R35" s="126"/>
      <c r="S35" s="87"/>
      <c r="T35" s="87"/>
      <c r="U35" s="87"/>
      <c r="V35" s="87"/>
      <c r="W35" s="87"/>
      <c r="X35" s="87"/>
      <c r="Y35" s="87"/>
      <c r="Z35" s="87"/>
      <c r="AA35" s="87"/>
      <c r="AB35" s="87"/>
      <c r="AC35" s="87"/>
      <c r="AD35" s="79"/>
      <c r="AE35" s="79"/>
      <c r="AF35" s="79"/>
      <c r="AG35" s="79"/>
    </row>
    <row r="36" spans="1:33">
      <c r="A36" s="99"/>
      <c r="B36" s="99"/>
      <c r="C36" s="99"/>
      <c r="D36" s="99"/>
      <c r="E36" s="99"/>
      <c r="F36" s="99"/>
      <c r="G36" s="126"/>
      <c r="H36" s="126"/>
      <c r="I36" s="126"/>
      <c r="J36" s="126"/>
      <c r="K36" s="126"/>
      <c r="L36" s="126"/>
      <c r="M36" s="126"/>
      <c r="N36" s="126"/>
      <c r="O36" s="126"/>
      <c r="P36" s="126"/>
      <c r="Q36" s="126"/>
      <c r="R36" s="126"/>
      <c r="S36" s="87"/>
      <c r="T36" s="87"/>
      <c r="U36" s="87"/>
      <c r="V36" s="87"/>
      <c r="W36" s="87"/>
      <c r="X36" s="87"/>
      <c r="Y36" s="87"/>
      <c r="Z36" s="87"/>
      <c r="AA36" s="87"/>
      <c r="AB36" s="87"/>
      <c r="AC36" s="87"/>
      <c r="AD36" s="79"/>
      <c r="AE36" s="79"/>
      <c r="AF36" s="79"/>
      <c r="AG36" s="79"/>
    </row>
    <row r="37" spans="1:33">
      <c r="A37" s="99"/>
      <c r="B37" s="99"/>
      <c r="C37" s="99"/>
      <c r="D37" s="99"/>
      <c r="E37" s="99"/>
      <c r="F37" s="99"/>
      <c r="G37" s="126"/>
      <c r="H37" s="126"/>
      <c r="I37" s="126"/>
      <c r="J37" s="126"/>
      <c r="K37" s="126"/>
      <c r="L37" s="126"/>
      <c r="M37" s="126"/>
      <c r="N37" s="126"/>
      <c r="O37" s="126"/>
      <c r="P37" s="126"/>
      <c r="Q37" s="126"/>
      <c r="R37" s="126"/>
      <c r="S37" s="87"/>
      <c r="T37" s="87"/>
      <c r="U37" s="87"/>
      <c r="V37" s="87"/>
      <c r="W37" s="87"/>
      <c r="X37" s="87"/>
      <c r="Y37" s="87"/>
      <c r="Z37" s="87"/>
      <c r="AA37" s="87"/>
      <c r="AB37" s="87"/>
      <c r="AC37" s="87"/>
      <c r="AD37" s="79"/>
      <c r="AE37" s="79"/>
      <c r="AF37" s="79"/>
      <c r="AG37" s="79"/>
    </row>
    <row r="38" spans="1:33">
      <c r="A38" s="99"/>
      <c r="B38" s="99"/>
      <c r="C38" s="99"/>
      <c r="D38" s="99"/>
      <c r="E38" s="99"/>
      <c r="F38" s="99"/>
      <c r="G38" s="126"/>
      <c r="H38" s="126"/>
      <c r="I38" s="126"/>
      <c r="J38" s="126"/>
      <c r="K38" s="126"/>
      <c r="L38" s="126"/>
      <c r="M38" s="126"/>
      <c r="N38" s="126"/>
      <c r="O38" s="126"/>
      <c r="P38" s="126"/>
      <c r="Q38" s="126"/>
      <c r="R38" s="126"/>
      <c r="S38" s="87"/>
      <c r="T38" s="87"/>
      <c r="U38" s="87"/>
      <c r="V38" s="87"/>
      <c r="W38" s="87"/>
      <c r="X38" s="87"/>
      <c r="Y38" s="87"/>
      <c r="Z38" s="87"/>
      <c r="AA38" s="87"/>
      <c r="AB38" s="87"/>
      <c r="AC38" s="87"/>
      <c r="AD38" s="79"/>
      <c r="AE38" s="79"/>
      <c r="AF38" s="79"/>
      <c r="AG38" s="79"/>
    </row>
    <row r="39" spans="1:33">
      <c r="A39" s="99"/>
      <c r="B39" s="99"/>
      <c r="C39" s="99"/>
      <c r="D39" s="99"/>
      <c r="E39" s="99"/>
      <c r="F39" s="99"/>
      <c r="G39" s="126"/>
      <c r="H39" s="126"/>
      <c r="I39" s="126"/>
      <c r="J39" s="126"/>
      <c r="K39" s="126"/>
      <c r="L39" s="126"/>
      <c r="M39" s="126"/>
      <c r="N39" s="126"/>
      <c r="O39" s="126"/>
      <c r="P39" s="126"/>
      <c r="Q39" s="126"/>
      <c r="R39" s="126"/>
      <c r="S39" s="87"/>
      <c r="T39" s="87"/>
      <c r="U39" s="87"/>
      <c r="V39" s="87"/>
      <c r="W39" s="87"/>
      <c r="X39" s="87"/>
      <c r="Y39" s="87"/>
      <c r="Z39" s="87"/>
      <c r="AA39" s="87"/>
      <c r="AB39" s="87"/>
      <c r="AC39" s="87"/>
      <c r="AD39" s="79"/>
      <c r="AE39" s="79"/>
      <c r="AF39" s="79"/>
      <c r="AG39" s="79"/>
    </row>
    <row r="40" spans="1:33">
      <c r="A40" s="99"/>
      <c r="B40" s="99"/>
      <c r="C40" s="99"/>
      <c r="D40" s="99"/>
      <c r="E40" s="99"/>
      <c r="F40" s="99"/>
      <c r="G40" s="126"/>
      <c r="H40" s="126"/>
      <c r="I40" s="126"/>
      <c r="J40" s="126"/>
      <c r="K40" s="126"/>
      <c r="L40" s="126"/>
      <c r="M40" s="126"/>
      <c r="N40" s="126"/>
      <c r="O40" s="126"/>
      <c r="P40" s="126"/>
      <c r="Q40" s="126"/>
      <c r="R40" s="126"/>
      <c r="S40" s="87"/>
      <c r="T40" s="87"/>
      <c r="U40" s="87"/>
      <c r="V40" s="87"/>
      <c r="W40" s="87"/>
      <c r="X40" s="87"/>
      <c r="Y40" s="87"/>
      <c r="Z40" s="87"/>
      <c r="AA40" s="87"/>
      <c r="AB40" s="87"/>
      <c r="AC40" s="87"/>
      <c r="AD40" s="79"/>
      <c r="AE40" s="79"/>
      <c r="AF40" s="79"/>
      <c r="AG40" s="79"/>
    </row>
    <row r="41" spans="1:33">
      <c r="A41" s="99"/>
      <c r="B41" s="99"/>
      <c r="C41" s="99"/>
      <c r="D41" s="99"/>
      <c r="E41" s="99"/>
      <c r="F41" s="99"/>
      <c r="G41" s="126"/>
      <c r="H41" s="126"/>
      <c r="I41" s="126"/>
      <c r="J41" s="126"/>
      <c r="K41" s="126"/>
      <c r="L41" s="126"/>
      <c r="M41" s="126"/>
      <c r="N41" s="126"/>
      <c r="O41" s="126"/>
      <c r="P41" s="126"/>
      <c r="Q41" s="126"/>
      <c r="R41" s="126"/>
      <c r="S41" s="87"/>
      <c r="T41" s="87"/>
      <c r="U41" s="87"/>
      <c r="V41" s="87"/>
      <c r="W41" s="87"/>
      <c r="X41" s="87"/>
      <c r="Y41" s="87"/>
      <c r="Z41" s="87"/>
      <c r="AA41" s="87"/>
      <c r="AB41" s="87"/>
      <c r="AC41" s="87"/>
      <c r="AD41" s="79"/>
      <c r="AE41" s="79"/>
      <c r="AF41" s="79"/>
      <c r="AG41" s="79"/>
    </row>
    <row r="42" spans="1:33">
      <c r="A42" s="99"/>
      <c r="B42" s="99"/>
      <c r="C42" s="99"/>
      <c r="D42" s="99"/>
      <c r="E42" s="99"/>
      <c r="F42" s="99"/>
      <c r="G42" s="126"/>
      <c r="H42" s="126"/>
      <c r="I42" s="126"/>
      <c r="J42" s="126"/>
      <c r="K42" s="126"/>
      <c r="L42" s="126"/>
      <c r="M42" s="126"/>
      <c r="N42" s="126"/>
      <c r="O42" s="126"/>
      <c r="P42" s="126"/>
      <c r="Q42" s="126"/>
      <c r="R42" s="126"/>
      <c r="S42" s="87"/>
      <c r="T42" s="87"/>
      <c r="U42" s="87"/>
      <c r="V42" s="87"/>
      <c r="W42" s="87"/>
      <c r="X42" s="87"/>
      <c r="Y42" s="87"/>
      <c r="Z42" s="87"/>
      <c r="AA42" s="87"/>
      <c r="AB42" s="87"/>
      <c r="AC42" s="87"/>
      <c r="AD42" s="79"/>
      <c r="AE42" s="79"/>
      <c r="AF42" s="79"/>
      <c r="AG42" s="79"/>
    </row>
    <row r="43" spans="1:33">
      <c r="A43" s="99"/>
      <c r="B43" s="99"/>
      <c r="C43" s="99"/>
      <c r="D43" s="99"/>
      <c r="E43" s="99"/>
      <c r="F43" s="99"/>
      <c r="G43" s="126"/>
      <c r="H43" s="126"/>
      <c r="I43" s="126"/>
      <c r="J43" s="126"/>
      <c r="K43" s="126"/>
      <c r="L43" s="126"/>
      <c r="M43" s="126"/>
      <c r="N43" s="126"/>
      <c r="O43" s="126"/>
      <c r="P43" s="126"/>
      <c r="Q43" s="126"/>
      <c r="R43" s="126"/>
      <c r="S43" s="87"/>
      <c r="T43" s="87"/>
      <c r="U43" s="87"/>
      <c r="V43" s="87"/>
      <c r="W43" s="87"/>
      <c r="X43" s="87"/>
      <c r="Y43" s="87"/>
      <c r="Z43" s="87"/>
      <c r="AA43" s="87"/>
      <c r="AB43" s="87"/>
      <c r="AC43" s="87"/>
      <c r="AD43" s="79"/>
      <c r="AE43" s="79"/>
      <c r="AF43" s="79"/>
      <c r="AG43" s="79"/>
    </row>
    <row r="44" spans="1:33">
      <c r="A44" s="99"/>
      <c r="B44" s="99"/>
      <c r="C44" s="99"/>
      <c r="D44" s="99"/>
      <c r="E44" s="99"/>
      <c r="F44" s="99"/>
      <c r="G44" s="126"/>
      <c r="H44" s="126"/>
      <c r="I44" s="126"/>
      <c r="J44" s="126"/>
      <c r="K44" s="126"/>
      <c r="L44" s="126"/>
      <c r="M44" s="126"/>
      <c r="N44" s="126"/>
      <c r="O44" s="126"/>
      <c r="P44" s="126"/>
      <c r="Q44" s="126"/>
      <c r="R44" s="126"/>
      <c r="S44" s="87"/>
      <c r="T44" s="87"/>
      <c r="U44" s="87"/>
      <c r="V44" s="87"/>
      <c r="W44" s="87"/>
      <c r="X44" s="87"/>
      <c r="Y44" s="87"/>
      <c r="Z44" s="87"/>
      <c r="AA44" s="87"/>
      <c r="AB44" s="87"/>
      <c r="AC44" s="87"/>
      <c r="AD44" s="79"/>
      <c r="AE44" s="79"/>
      <c r="AF44" s="79"/>
      <c r="AG44" s="79"/>
    </row>
    <row r="45" spans="1:33">
      <c r="A45" s="99"/>
      <c r="B45" s="99"/>
      <c r="C45" s="99"/>
      <c r="D45" s="99"/>
      <c r="E45" s="99"/>
      <c r="F45" s="99"/>
      <c r="G45" s="126"/>
      <c r="H45" s="94"/>
      <c r="I45" s="94"/>
      <c r="J45" s="94"/>
      <c r="K45" s="94"/>
      <c r="L45" s="94"/>
      <c r="M45" s="94"/>
      <c r="N45" s="94"/>
      <c r="O45" s="94"/>
      <c r="P45" s="94"/>
      <c r="Q45" s="94"/>
      <c r="R45" s="94"/>
      <c r="S45" s="263"/>
      <c r="T45" s="263"/>
      <c r="U45" s="263"/>
      <c r="V45" s="87"/>
      <c r="W45" s="87"/>
      <c r="X45" s="87"/>
      <c r="Y45" s="87"/>
      <c r="Z45" s="87"/>
      <c r="AA45" s="87"/>
      <c r="AB45" s="87"/>
      <c r="AC45" s="87"/>
      <c r="AD45" s="79"/>
      <c r="AE45" s="79"/>
      <c r="AF45" s="79"/>
      <c r="AG45" s="79"/>
    </row>
    <row r="46" spans="1:33">
      <c r="A46" s="99"/>
      <c r="B46" s="99"/>
      <c r="C46" s="99"/>
      <c r="D46" s="99"/>
      <c r="E46" s="99"/>
      <c r="F46" s="99"/>
      <c r="G46" s="126"/>
      <c r="H46" s="94"/>
      <c r="I46" s="94"/>
      <c r="J46" s="94"/>
      <c r="K46" s="94"/>
      <c r="L46" s="94"/>
      <c r="M46" s="94"/>
      <c r="N46" s="94"/>
      <c r="O46" s="94"/>
      <c r="P46" s="94"/>
      <c r="Q46" s="94"/>
      <c r="R46" s="94"/>
      <c r="S46" s="263"/>
      <c r="T46" s="263"/>
      <c r="U46" s="263"/>
      <c r="V46" s="87"/>
      <c r="W46" s="87"/>
      <c r="X46" s="87"/>
      <c r="Y46" s="87"/>
      <c r="Z46" s="87"/>
      <c r="AA46" s="87"/>
      <c r="AB46" s="87"/>
      <c r="AC46" s="87"/>
      <c r="AD46" s="79"/>
      <c r="AE46" s="79"/>
      <c r="AF46" s="79"/>
      <c r="AG46" s="79"/>
    </row>
    <row r="47" spans="1:33">
      <c r="A47" s="99"/>
      <c r="B47" s="99"/>
      <c r="C47" s="99"/>
      <c r="D47" s="99"/>
      <c r="E47" s="99"/>
      <c r="F47" s="99"/>
      <c r="G47" s="126"/>
      <c r="H47" s="94"/>
      <c r="I47" s="94"/>
      <c r="J47" s="94"/>
      <c r="K47" s="94"/>
      <c r="L47" s="94"/>
      <c r="M47" s="94"/>
      <c r="N47" s="94"/>
      <c r="O47" s="94"/>
      <c r="P47" s="94"/>
      <c r="Q47" s="94"/>
      <c r="R47" s="94"/>
      <c r="S47" s="263"/>
      <c r="T47" s="263"/>
      <c r="U47" s="263"/>
      <c r="V47" s="87"/>
      <c r="W47" s="87"/>
      <c r="X47" s="87"/>
      <c r="Y47" s="87"/>
      <c r="Z47" s="87"/>
      <c r="AA47" s="87"/>
      <c r="AB47" s="87"/>
      <c r="AC47" s="87"/>
      <c r="AD47" s="79"/>
      <c r="AE47" s="79"/>
      <c r="AF47" s="79"/>
      <c r="AG47" s="79"/>
    </row>
    <row r="48" spans="1:33">
      <c r="A48" s="99"/>
      <c r="B48" s="99"/>
      <c r="C48" s="99"/>
      <c r="D48" s="99"/>
      <c r="E48" s="99"/>
      <c r="F48" s="356"/>
      <c r="G48" s="126"/>
      <c r="H48" s="94"/>
      <c r="I48" s="94"/>
      <c r="J48" s="94"/>
      <c r="K48" s="94"/>
      <c r="L48" s="94"/>
      <c r="M48" s="94"/>
      <c r="N48" s="94"/>
      <c r="O48" s="94"/>
      <c r="P48" s="94"/>
      <c r="Q48" s="94"/>
      <c r="R48" s="94"/>
      <c r="S48" s="263"/>
      <c r="T48" s="263"/>
      <c r="U48" s="263"/>
      <c r="V48" s="87"/>
      <c r="W48" s="87"/>
      <c r="X48" s="87"/>
      <c r="Y48" s="87"/>
      <c r="Z48" s="87"/>
      <c r="AA48" s="87"/>
      <c r="AB48" s="87"/>
      <c r="AC48" s="87"/>
      <c r="AD48" s="79"/>
      <c r="AE48" s="79"/>
      <c r="AF48" s="79"/>
      <c r="AG48" s="79"/>
    </row>
    <row r="49" spans="1:33">
      <c r="A49" s="99"/>
      <c r="B49" s="99"/>
      <c r="C49" s="99"/>
      <c r="D49" s="99"/>
      <c r="E49" s="99"/>
      <c r="F49" s="356"/>
      <c r="G49" s="126"/>
      <c r="H49" s="94"/>
      <c r="I49" s="94"/>
      <c r="J49" s="94"/>
      <c r="K49" s="94"/>
      <c r="L49" s="94"/>
      <c r="M49" s="94"/>
      <c r="N49" s="94"/>
      <c r="O49" s="94"/>
      <c r="P49" s="94"/>
      <c r="Q49" s="94"/>
      <c r="R49" s="94"/>
      <c r="S49" s="263"/>
      <c r="T49" s="263"/>
      <c r="U49" s="263"/>
      <c r="V49" s="87"/>
      <c r="W49" s="87"/>
      <c r="X49" s="87"/>
      <c r="Y49" s="87"/>
      <c r="Z49" s="87"/>
      <c r="AA49" s="87"/>
      <c r="AB49" s="87"/>
      <c r="AC49" s="87"/>
      <c r="AD49" s="79"/>
      <c r="AE49" s="79"/>
      <c r="AF49" s="79"/>
      <c r="AG49" s="79"/>
    </row>
    <row r="50" spans="1:33">
      <c r="A50" s="99"/>
      <c r="B50" s="99"/>
      <c r="C50" s="99"/>
      <c r="D50" s="99"/>
      <c r="E50" s="99"/>
      <c r="F50" s="356"/>
      <c r="G50" s="126"/>
      <c r="H50" s="94"/>
      <c r="I50" s="94"/>
      <c r="J50" s="94"/>
      <c r="K50" s="94"/>
      <c r="L50" s="94"/>
      <c r="M50" s="94"/>
      <c r="N50" s="94"/>
      <c r="O50" s="94"/>
      <c r="P50" s="94"/>
      <c r="Q50" s="94"/>
      <c r="R50" s="94"/>
      <c r="S50" s="263"/>
      <c r="T50" s="263"/>
      <c r="U50" s="263"/>
      <c r="V50" s="87"/>
      <c r="W50" s="87"/>
      <c r="X50" s="87"/>
      <c r="Y50" s="87"/>
      <c r="Z50" s="87"/>
      <c r="AA50" s="87"/>
      <c r="AB50" s="87"/>
      <c r="AC50" s="87"/>
      <c r="AD50" s="79"/>
      <c r="AE50" s="79"/>
      <c r="AF50" s="79"/>
      <c r="AG50" s="79"/>
    </row>
    <row r="51" spans="1:33">
      <c r="A51" s="99"/>
      <c r="B51" s="99"/>
      <c r="C51" s="99"/>
      <c r="D51" s="99"/>
      <c r="E51" s="99"/>
      <c r="F51" s="356"/>
      <c r="G51" s="126"/>
      <c r="H51" s="94"/>
      <c r="I51" s="94"/>
      <c r="J51" s="94"/>
      <c r="K51" s="94"/>
      <c r="L51" s="94"/>
      <c r="M51" s="94"/>
      <c r="N51" s="94"/>
      <c r="O51" s="94"/>
      <c r="P51" s="94"/>
      <c r="Q51" s="94"/>
      <c r="R51" s="94"/>
      <c r="S51" s="263"/>
      <c r="T51" s="263"/>
      <c r="U51" s="263"/>
      <c r="V51" s="87"/>
      <c r="W51" s="87"/>
      <c r="X51" s="87"/>
      <c r="Y51" s="87"/>
      <c r="Z51" s="87"/>
      <c r="AA51" s="87"/>
      <c r="AB51" s="87"/>
      <c r="AC51" s="87"/>
      <c r="AD51" s="79"/>
      <c r="AE51" s="79"/>
      <c r="AF51" s="79"/>
      <c r="AG51" s="79"/>
    </row>
    <row r="52" spans="1:33">
      <c r="A52" s="99"/>
      <c r="B52" s="99"/>
      <c r="C52" s="99"/>
      <c r="D52" s="99"/>
      <c r="E52" s="99"/>
      <c r="F52" s="356"/>
      <c r="G52" s="126"/>
      <c r="H52" s="94"/>
      <c r="I52" s="94"/>
      <c r="J52" s="94"/>
      <c r="K52" s="94"/>
      <c r="L52" s="94"/>
      <c r="M52" s="94"/>
      <c r="N52" s="94"/>
      <c r="O52" s="94"/>
      <c r="P52" s="94"/>
      <c r="Q52" s="94"/>
      <c r="R52" s="94"/>
      <c r="S52" s="263"/>
      <c r="T52" s="263"/>
      <c r="U52" s="263"/>
      <c r="V52" s="87"/>
      <c r="W52" s="87"/>
      <c r="X52" s="87"/>
      <c r="Y52" s="87"/>
      <c r="Z52" s="87"/>
      <c r="AA52" s="87"/>
      <c r="AB52" s="87"/>
      <c r="AC52" s="87"/>
      <c r="AD52" s="79"/>
      <c r="AE52" s="79"/>
      <c r="AF52" s="79"/>
      <c r="AG52" s="79"/>
    </row>
    <row r="53" spans="1:33">
      <c r="A53" s="99"/>
      <c r="B53" s="99"/>
      <c r="C53" s="99"/>
      <c r="D53" s="99"/>
      <c r="E53" s="99"/>
      <c r="F53" s="356"/>
      <c r="G53" s="126"/>
      <c r="H53" s="94"/>
      <c r="I53" s="94"/>
      <c r="J53" s="94"/>
      <c r="K53" s="94"/>
      <c r="L53" s="94"/>
      <c r="M53" s="94"/>
      <c r="N53" s="94"/>
      <c r="O53" s="94"/>
      <c r="P53" s="94"/>
      <c r="Q53" s="94"/>
      <c r="R53" s="94"/>
      <c r="S53" s="263"/>
      <c r="T53" s="263"/>
      <c r="U53" s="263"/>
      <c r="V53" s="87"/>
      <c r="W53" s="87"/>
      <c r="X53" s="87"/>
      <c r="Y53" s="87"/>
      <c r="Z53" s="87"/>
      <c r="AA53" s="87"/>
      <c r="AB53" s="87"/>
      <c r="AC53" s="87"/>
      <c r="AD53" s="79"/>
      <c r="AE53" s="79"/>
      <c r="AF53" s="79"/>
      <c r="AG53" s="79"/>
    </row>
    <row r="54" spans="1:33" ht="14.5">
      <c r="A54" s="99"/>
      <c r="B54" s="99"/>
      <c r="C54" s="99"/>
      <c r="D54" s="99"/>
      <c r="E54" s="99"/>
      <c r="F54" s="356"/>
      <c r="G54" s="126"/>
      <c r="H54" s="94"/>
      <c r="I54" s="94"/>
      <c r="J54" s="267" t="s">
        <v>205</v>
      </c>
      <c r="K54" s="94"/>
      <c r="L54" s="94"/>
      <c r="M54" s="94"/>
      <c r="N54" s="94"/>
      <c r="O54" s="94"/>
      <c r="P54" s="94"/>
      <c r="Q54" s="94"/>
      <c r="R54" s="94"/>
      <c r="S54" s="263"/>
      <c r="T54" s="263"/>
      <c r="U54" s="263"/>
      <c r="V54" s="87"/>
      <c r="W54" s="87"/>
      <c r="X54" s="87"/>
      <c r="Y54" s="87"/>
      <c r="Z54" s="87"/>
      <c r="AA54" s="87"/>
      <c r="AB54" s="87"/>
      <c r="AC54" s="87"/>
      <c r="AD54" s="79"/>
      <c r="AE54" s="79"/>
      <c r="AF54" s="79"/>
      <c r="AG54" s="79"/>
    </row>
    <row r="55" spans="1:33">
      <c r="A55" s="99"/>
      <c r="B55" s="99"/>
      <c r="C55" s="99"/>
      <c r="D55" s="99"/>
      <c r="E55" s="99"/>
      <c r="F55" s="356"/>
      <c r="G55" s="126"/>
      <c r="H55" s="94"/>
      <c r="I55" s="94"/>
      <c r="J55" s="94"/>
      <c r="K55" s="94"/>
      <c r="L55" s="94"/>
      <c r="M55" s="94"/>
      <c r="N55" s="94"/>
      <c r="O55" s="94"/>
      <c r="P55" s="94"/>
      <c r="Q55" s="94"/>
      <c r="R55" s="94"/>
      <c r="S55" s="263"/>
      <c r="T55" s="263"/>
      <c r="U55" s="263"/>
      <c r="V55" s="87"/>
      <c r="W55" s="87"/>
      <c r="X55" s="87"/>
      <c r="Y55" s="87"/>
      <c r="Z55" s="87"/>
      <c r="AA55" s="87"/>
      <c r="AB55" s="87"/>
      <c r="AC55" s="87"/>
      <c r="AD55" s="79"/>
      <c r="AE55" s="79"/>
      <c r="AF55" s="79"/>
      <c r="AG55" s="79"/>
    </row>
    <row r="56" spans="1:33">
      <c r="A56" s="99"/>
      <c r="B56" s="99"/>
      <c r="C56" s="99"/>
      <c r="D56" s="99"/>
      <c r="E56" s="99"/>
      <c r="F56" s="356"/>
      <c r="G56" s="126"/>
      <c r="H56" s="94"/>
      <c r="I56" s="94"/>
      <c r="J56" s="94"/>
      <c r="K56" s="94" t="s">
        <v>171</v>
      </c>
      <c r="L56" s="94"/>
      <c r="M56" s="94"/>
      <c r="N56" s="94"/>
      <c r="O56" s="94"/>
      <c r="P56" s="94"/>
      <c r="Q56" s="94"/>
      <c r="R56" s="94"/>
      <c r="S56" s="263"/>
      <c r="T56" s="263"/>
      <c r="U56" s="263"/>
      <c r="V56" s="87"/>
      <c r="W56" s="87"/>
      <c r="X56" s="87"/>
      <c r="Y56" s="87"/>
      <c r="Z56" s="87"/>
      <c r="AA56" s="87"/>
      <c r="AB56" s="87"/>
      <c r="AC56" s="87"/>
      <c r="AD56" s="79"/>
      <c r="AE56" s="79"/>
      <c r="AF56" s="79"/>
      <c r="AG56" s="79"/>
    </row>
    <row r="57" spans="1:33">
      <c r="A57" s="99"/>
      <c r="B57" s="99"/>
      <c r="C57" s="99"/>
      <c r="D57" s="99"/>
      <c r="E57" s="99"/>
      <c r="F57" s="356"/>
      <c r="G57" s="126"/>
      <c r="H57" s="94"/>
      <c r="I57" s="94"/>
      <c r="J57" s="94"/>
      <c r="K57" s="94" t="s">
        <v>251</v>
      </c>
      <c r="L57" s="94" t="s">
        <v>250</v>
      </c>
      <c r="M57" s="94"/>
      <c r="N57" s="94"/>
      <c r="O57" s="94"/>
      <c r="P57" s="94"/>
      <c r="Q57" s="94"/>
      <c r="R57" s="94"/>
      <c r="S57" s="263"/>
      <c r="T57" s="263"/>
      <c r="U57" s="263"/>
      <c r="V57" s="87"/>
      <c r="W57" s="87"/>
      <c r="X57" s="87"/>
      <c r="Y57" s="87"/>
      <c r="Z57" s="87"/>
      <c r="AA57" s="87"/>
      <c r="AB57" s="87"/>
      <c r="AC57" s="87"/>
      <c r="AD57" s="79"/>
      <c r="AE57" s="79"/>
      <c r="AF57" s="79"/>
      <c r="AG57" s="79"/>
    </row>
    <row r="58" spans="1:33">
      <c r="A58" s="99"/>
      <c r="B58" s="99"/>
      <c r="C58" s="99"/>
      <c r="D58" s="99"/>
      <c r="E58" s="99"/>
      <c r="F58" s="356"/>
      <c r="G58" s="126"/>
      <c r="H58" s="94"/>
      <c r="I58" s="94"/>
      <c r="J58" s="94" t="s">
        <v>248</v>
      </c>
      <c r="K58" s="132">
        <f>C5</f>
        <v>0</v>
      </c>
      <c r="L58" s="94"/>
      <c r="M58" s="94"/>
      <c r="N58" s="94"/>
      <c r="O58" s="94"/>
      <c r="P58" s="94"/>
      <c r="Q58" s="94"/>
      <c r="R58" s="94"/>
      <c r="S58" s="263"/>
      <c r="T58" s="263"/>
      <c r="U58" s="263"/>
      <c r="V58" s="260"/>
      <c r="W58" s="260"/>
      <c r="X58" s="79"/>
      <c r="Y58" s="79"/>
      <c r="Z58" s="79"/>
      <c r="AA58" s="79"/>
      <c r="AB58" s="79"/>
      <c r="AC58" s="79"/>
      <c r="AD58" s="79"/>
      <c r="AE58" s="79"/>
      <c r="AF58" s="79"/>
      <c r="AG58" s="79"/>
    </row>
    <row r="59" spans="1:33">
      <c r="A59" s="99"/>
      <c r="B59" s="99"/>
      <c r="C59" s="99"/>
      <c r="D59" s="99"/>
      <c r="E59" s="99"/>
      <c r="F59" s="356"/>
      <c r="G59" s="126"/>
      <c r="H59" s="94"/>
      <c r="I59" s="94"/>
      <c r="J59" s="94" t="s">
        <v>249</v>
      </c>
      <c r="K59" s="361"/>
      <c r="L59" s="362" t="e">
        <f>C24</f>
        <v>#N/A</v>
      </c>
      <c r="M59" s="94"/>
      <c r="N59" s="94"/>
      <c r="O59" s="94"/>
      <c r="P59" s="94"/>
      <c r="Q59" s="94"/>
      <c r="R59" s="94"/>
      <c r="S59" s="263"/>
      <c r="T59" s="263"/>
      <c r="U59" s="263"/>
      <c r="V59" s="260"/>
      <c r="W59" s="260"/>
      <c r="X59" s="79"/>
      <c r="Y59" s="79"/>
      <c r="Z59" s="79"/>
      <c r="AA59" s="79"/>
      <c r="AB59" s="79"/>
      <c r="AC59" s="79"/>
      <c r="AD59" s="79"/>
      <c r="AE59" s="79"/>
      <c r="AF59" s="79"/>
      <c r="AG59" s="79"/>
    </row>
    <row r="60" spans="1:33">
      <c r="A60" s="99"/>
      <c r="B60" s="99"/>
      <c r="C60" s="99"/>
      <c r="D60" s="99"/>
      <c r="E60" s="99"/>
      <c r="F60" s="356"/>
      <c r="G60" s="126"/>
      <c r="H60" s="94"/>
      <c r="I60" s="94"/>
      <c r="J60" s="94" t="s">
        <v>345</v>
      </c>
      <c r="K60" s="364"/>
      <c r="L60" s="365">
        <f>C26</f>
        <v>0</v>
      </c>
      <c r="M60" s="94"/>
      <c r="N60" s="94"/>
      <c r="O60" s="94"/>
      <c r="P60" s="94"/>
      <c r="Q60" s="94"/>
      <c r="R60" s="94"/>
      <c r="S60" s="263"/>
      <c r="T60" s="263"/>
      <c r="U60" s="263"/>
      <c r="V60" s="260"/>
      <c r="W60" s="260"/>
      <c r="X60" s="79"/>
      <c r="Y60" s="79"/>
      <c r="Z60" s="79"/>
      <c r="AA60" s="79"/>
      <c r="AB60" s="79"/>
      <c r="AC60" s="79"/>
      <c r="AD60" s="79"/>
      <c r="AE60" s="79"/>
      <c r="AF60" s="79"/>
      <c r="AG60" s="79"/>
    </row>
    <row r="61" spans="1:33" ht="15.5">
      <c r="A61" s="99"/>
      <c r="B61" s="111" t="s">
        <v>222</v>
      </c>
      <c r="C61" s="124"/>
      <c r="D61" s="153" t="s">
        <v>226</v>
      </c>
      <c r="E61" s="99"/>
      <c r="F61" s="357" t="s">
        <v>221</v>
      </c>
      <c r="G61" s="126"/>
      <c r="H61" s="94"/>
      <c r="I61" s="94"/>
      <c r="J61" s="94" t="s">
        <v>75</v>
      </c>
      <c r="K61" s="363"/>
      <c r="L61" s="132" t="e">
        <f>L59+L60</f>
        <v>#N/A</v>
      </c>
      <c r="M61" s="94"/>
      <c r="N61" s="94"/>
      <c r="O61" s="94"/>
      <c r="P61" s="94"/>
      <c r="Q61" s="94"/>
      <c r="R61" s="94"/>
      <c r="S61" s="263"/>
      <c r="T61" s="263"/>
      <c r="U61" s="263"/>
      <c r="V61" s="260"/>
      <c r="W61" s="260"/>
      <c r="X61" s="79"/>
      <c r="Y61" s="79"/>
      <c r="Z61" s="79"/>
      <c r="AA61" s="79"/>
      <c r="AB61" s="79"/>
      <c r="AC61" s="79"/>
      <c r="AD61" s="79"/>
      <c r="AE61" s="79"/>
      <c r="AF61" s="79"/>
      <c r="AG61" s="79"/>
    </row>
    <row r="62" spans="1:33">
      <c r="A62" s="99"/>
      <c r="B62" s="99"/>
      <c r="C62" s="99"/>
      <c r="D62" s="99"/>
      <c r="E62" s="99"/>
      <c r="F62" s="356"/>
      <c r="G62" s="126"/>
      <c r="H62" s="94"/>
      <c r="I62" s="94"/>
      <c r="J62" s="94" t="s">
        <v>229</v>
      </c>
      <c r="K62" s="363"/>
      <c r="L62" s="129" t="e">
        <f>ABS(C28)</f>
        <v>#N/A</v>
      </c>
      <c r="M62" s="94"/>
      <c r="N62" s="94"/>
      <c r="O62" s="94"/>
      <c r="P62" s="94"/>
      <c r="Q62" s="94"/>
      <c r="R62" s="94"/>
      <c r="S62" s="263"/>
      <c r="T62" s="263"/>
      <c r="U62" s="263"/>
      <c r="V62" s="260"/>
      <c r="W62" s="260"/>
      <c r="X62" s="79"/>
      <c r="Y62" s="79"/>
      <c r="Z62" s="79"/>
      <c r="AA62" s="79"/>
      <c r="AB62" s="79"/>
      <c r="AC62" s="79"/>
      <c r="AD62" s="79"/>
      <c r="AE62" s="79"/>
      <c r="AF62" s="79"/>
      <c r="AG62" s="79"/>
    </row>
    <row r="63" spans="1:33">
      <c r="A63" s="99"/>
      <c r="B63" s="94" t="str">
        <f>"Rentenlücke von"&amp;" "&amp;'Eingabe Käuferdaten'!C5</f>
        <v xml:space="preserve">Rentenlücke von </v>
      </c>
      <c r="C63" s="94"/>
      <c r="D63" s="94" t="str">
        <f>"Rentenlücke von"&amp;" "&amp;'Eingabe Käuferdaten'!D5</f>
        <v xml:space="preserve">Rentenlücke von </v>
      </c>
      <c r="E63" s="99"/>
      <c r="F63" s="356"/>
      <c r="G63" s="126"/>
      <c r="H63" s="94"/>
      <c r="I63" s="94"/>
      <c r="J63" s="94"/>
      <c r="K63" s="94"/>
      <c r="L63" s="94"/>
      <c r="M63" s="94"/>
      <c r="N63" s="94"/>
      <c r="O63" s="94"/>
      <c r="P63" s="94"/>
      <c r="Q63" s="94"/>
      <c r="R63" s="94"/>
      <c r="S63" s="263"/>
      <c r="T63" s="263"/>
      <c r="U63" s="263"/>
      <c r="V63" s="260"/>
      <c r="W63" s="260"/>
      <c r="X63" s="79"/>
      <c r="Y63" s="79"/>
      <c r="Z63" s="79"/>
      <c r="AA63" s="79"/>
      <c r="AB63" s="79"/>
      <c r="AC63" s="79"/>
      <c r="AD63" s="79"/>
      <c r="AE63" s="79"/>
      <c r="AF63" s="79"/>
      <c r="AG63" s="79"/>
    </row>
    <row r="64" spans="1:33">
      <c r="A64" s="99"/>
      <c r="B64" s="99"/>
      <c r="C64" s="99"/>
      <c r="D64" s="99"/>
      <c r="E64" s="99"/>
      <c r="F64" s="356"/>
      <c r="G64" s="126"/>
      <c r="H64" s="94"/>
      <c r="I64" s="94"/>
      <c r="J64" s="94"/>
      <c r="K64" s="94" t="s">
        <v>172</v>
      </c>
      <c r="L64" s="94"/>
      <c r="M64" s="94"/>
      <c r="N64" s="94"/>
      <c r="O64" s="94"/>
      <c r="P64" s="94"/>
      <c r="Q64" s="94"/>
      <c r="R64" s="94"/>
      <c r="S64" s="263"/>
      <c r="T64" s="263"/>
      <c r="U64" s="263"/>
      <c r="V64" s="260"/>
      <c r="W64" s="260"/>
      <c r="X64" s="79"/>
      <c r="Y64" s="79"/>
      <c r="Z64" s="79"/>
      <c r="AA64" s="79"/>
      <c r="AB64" s="79"/>
      <c r="AC64" s="79"/>
      <c r="AD64" s="79"/>
      <c r="AE64" s="79"/>
      <c r="AF64" s="79"/>
      <c r="AG64" s="79"/>
    </row>
    <row r="65" spans="1:33" ht="15.5">
      <c r="A65" s="99"/>
      <c r="B65" s="69"/>
      <c r="C65" s="99"/>
      <c r="D65" s="99"/>
      <c r="E65" s="99"/>
      <c r="F65" s="358"/>
      <c r="G65" s="356"/>
      <c r="H65" s="94"/>
      <c r="I65" s="94"/>
      <c r="J65" s="94"/>
      <c r="K65" s="94" t="s">
        <v>251</v>
      </c>
      <c r="L65" s="94" t="s">
        <v>250</v>
      </c>
      <c r="M65" s="94"/>
      <c r="N65" s="94"/>
      <c r="O65" s="94"/>
      <c r="P65" s="94"/>
      <c r="Q65" s="94"/>
      <c r="R65" s="94"/>
      <c r="S65" s="263"/>
      <c r="T65" s="263"/>
      <c r="U65" s="263"/>
      <c r="V65" s="260"/>
      <c r="W65" s="260"/>
      <c r="X65" s="79"/>
      <c r="Y65" s="79"/>
      <c r="Z65" s="79"/>
      <c r="AA65" s="79"/>
      <c r="AB65" s="79"/>
      <c r="AC65" s="79"/>
      <c r="AD65" s="79"/>
      <c r="AE65" s="79"/>
      <c r="AF65" s="79"/>
      <c r="AG65" s="79"/>
    </row>
    <row r="66" spans="1:33" ht="15.5">
      <c r="A66" s="99"/>
      <c r="B66" s="124"/>
      <c r="C66" s="124"/>
      <c r="D66" s="124"/>
      <c r="E66" s="134"/>
      <c r="F66" s="358"/>
      <c r="G66" s="356"/>
      <c r="H66" s="94"/>
      <c r="I66" s="94"/>
      <c r="J66" s="94" t="s">
        <v>248</v>
      </c>
      <c r="K66" s="132">
        <f>F5</f>
        <v>0</v>
      </c>
      <c r="L66" s="94"/>
      <c r="M66" s="94"/>
      <c r="N66" s="94"/>
      <c r="O66" s="94"/>
      <c r="P66" s="94"/>
      <c r="Q66" s="94"/>
      <c r="R66" s="94"/>
      <c r="S66" s="263"/>
      <c r="T66" s="263"/>
      <c r="U66" s="263"/>
      <c r="V66" s="260"/>
      <c r="W66" s="260"/>
      <c r="X66" s="79"/>
      <c r="Y66" s="79"/>
      <c r="Z66" s="79"/>
      <c r="AA66" s="79"/>
      <c r="AB66" s="79"/>
      <c r="AC66" s="79"/>
      <c r="AD66" s="79"/>
      <c r="AE66" s="79"/>
      <c r="AF66" s="79"/>
      <c r="AG66" s="79"/>
    </row>
    <row r="67" spans="1:33" ht="15.5">
      <c r="A67" s="99"/>
      <c r="B67" s="85"/>
      <c r="C67" s="567"/>
      <c r="D67" s="568"/>
      <c r="E67" s="71"/>
      <c r="F67" s="572"/>
      <c r="G67" s="570"/>
      <c r="H67" s="94"/>
      <c r="I67" s="94"/>
      <c r="J67" s="363" t="s">
        <v>249</v>
      </c>
      <c r="K67" s="94"/>
      <c r="L67" s="132" t="e">
        <f>F24</f>
        <v>#N/A</v>
      </c>
      <c r="M67" s="94"/>
      <c r="N67" s="94"/>
      <c r="O67" s="94"/>
      <c r="P67" s="94"/>
      <c r="Q67" s="94"/>
      <c r="R67" s="94"/>
      <c r="S67" s="263"/>
      <c r="T67" s="263"/>
      <c r="U67" s="263"/>
      <c r="V67" s="260"/>
      <c r="W67" s="260"/>
      <c r="X67" s="79"/>
      <c r="Y67" s="79"/>
      <c r="Z67" s="79"/>
      <c r="AA67" s="79"/>
      <c r="AB67" s="79"/>
      <c r="AC67" s="79"/>
      <c r="AD67" s="79"/>
      <c r="AE67" s="79"/>
      <c r="AF67" s="79"/>
      <c r="AG67" s="79"/>
    </row>
    <row r="68" spans="1:33" ht="15.5">
      <c r="A68" s="99"/>
      <c r="B68" s="85"/>
      <c r="C68" s="567"/>
      <c r="D68" s="565"/>
      <c r="E68" s="71"/>
      <c r="F68" s="572"/>
      <c r="G68" s="570"/>
      <c r="H68" s="94"/>
      <c r="I68" s="94"/>
      <c r="J68" s="366" t="s">
        <v>345</v>
      </c>
      <c r="K68" s="367"/>
      <c r="L68" s="368">
        <f>F26</f>
        <v>0</v>
      </c>
      <c r="M68" s="94"/>
      <c r="N68" s="94"/>
      <c r="O68" s="94"/>
      <c r="P68" s="94"/>
      <c r="Q68" s="94"/>
      <c r="R68" s="94"/>
      <c r="S68" s="263"/>
      <c r="T68" s="263"/>
      <c r="U68" s="263"/>
      <c r="V68" s="260"/>
      <c r="W68" s="260"/>
      <c r="X68" s="79"/>
      <c r="Y68" s="79"/>
      <c r="Z68" s="79"/>
      <c r="AA68" s="79"/>
      <c r="AB68" s="79"/>
      <c r="AC68" s="79"/>
      <c r="AD68" s="79"/>
      <c r="AE68" s="79"/>
      <c r="AF68" s="79"/>
      <c r="AG68" s="79"/>
    </row>
    <row r="69" spans="1:33" ht="15.5">
      <c r="A69" s="99"/>
      <c r="B69" s="154"/>
      <c r="C69" s="564"/>
      <c r="D69" s="565"/>
      <c r="E69" s="155"/>
      <c r="F69" s="573"/>
      <c r="G69" s="570"/>
      <c r="H69" s="94"/>
      <c r="I69" s="94"/>
      <c r="J69" s="94" t="s">
        <v>75</v>
      </c>
      <c r="K69" s="363"/>
      <c r="L69" s="132" t="e">
        <f>L67+L68</f>
        <v>#N/A</v>
      </c>
      <c r="M69" s="94"/>
      <c r="N69" s="94"/>
      <c r="O69" s="94"/>
      <c r="P69" s="94"/>
      <c r="Q69" s="94"/>
      <c r="R69" s="94"/>
      <c r="S69" s="263"/>
      <c r="T69" s="263"/>
      <c r="U69" s="263"/>
      <c r="V69" s="260"/>
      <c r="W69" s="260"/>
      <c r="X69" s="79"/>
      <c r="Y69" s="79"/>
      <c r="Z69" s="79"/>
      <c r="AA69" s="79"/>
      <c r="AB69" s="79"/>
      <c r="AC69" s="79"/>
      <c r="AD69" s="79"/>
      <c r="AE69" s="79"/>
      <c r="AF69" s="79"/>
      <c r="AG69" s="79"/>
    </row>
    <row r="70" spans="1:33" ht="15.5">
      <c r="A70" s="99"/>
      <c r="B70" s="124"/>
      <c r="C70" s="564"/>
      <c r="D70" s="564"/>
      <c r="E70" s="155"/>
      <c r="F70" s="569"/>
      <c r="G70" s="570"/>
      <c r="H70" s="94"/>
      <c r="I70" s="94"/>
      <c r="J70" s="94" t="s">
        <v>229</v>
      </c>
      <c r="K70" s="94"/>
      <c r="L70" s="129" t="e">
        <f>ABS(F28)</f>
        <v>#N/A</v>
      </c>
      <c r="M70" s="94"/>
      <c r="N70" s="94"/>
      <c r="O70" s="94"/>
      <c r="P70" s="94"/>
      <c r="Q70" s="94"/>
      <c r="R70" s="94"/>
      <c r="S70" s="263"/>
      <c r="T70" s="263"/>
      <c r="U70" s="263"/>
      <c r="V70" s="260"/>
      <c r="W70" s="260"/>
      <c r="X70" s="79"/>
      <c r="Y70" s="79"/>
      <c r="Z70" s="79"/>
      <c r="AA70" s="79"/>
      <c r="AB70" s="79"/>
      <c r="AC70" s="79"/>
      <c r="AD70" s="79"/>
      <c r="AE70" s="79"/>
      <c r="AF70" s="79"/>
      <c r="AG70" s="79"/>
    </row>
    <row r="71" spans="1:33" ht="15.5">
      <c r="A71" s="99"/>
      <c r="B71" s="154"/>
      <c r="C71" s="564"/>
      <c r="D71" s="565"/>
      <c r="E71" s="155"/>
      <c r="F71" s="573"/>
      <c r="G71" s="570"/>
      <c r="H71" s="94"/>
      <c r="I71" s="94"/>
      <c r="J71" s="94"/>
      <c r="K71" s="94"/>
      <c r="L71" s="94"/>
      <c r="M71" s="94"/>
      <c r="N71" s="94"/>
      <c r="O71" s="94"/>
      <c r="P71" s="94"/>
      <c r="Q71" s="94"/>
      <c r="R71" s="94"/>
      <c r="S71" s="263"/>
      <c r="T71" s="263"/>
      <c r="U71" s="263"/>
      <c r="V71" s="260"/>
      <c r="W71" s="260"/>
      <c r="X71" s="79"/>
      <c r="Y71" s="79"/>
      <c r="Z71" s="79"/>
      <c r="AA71" s="79"/>
      <c r="AB71" s="79"/>
      <c r="AC71" s="79"/>
      <c r="AD71" s="79"/>
      <c r="AE71" s="79"/>
      <c r="AF71" s="79"/>
      <c r="AG71" s="79"/>
    </row>
    <row r="72" spans="1:33" ht="15.5">
      <c r="A72" s="99"/>
      <c r="B72" s="124"/>
      <c r="C72" s="564"/>
      <c r="D72" s="565"/>
      <c r="E72" s="155"/>
      <c r="F72" s="569"/>
      <c r="G72" s="570"/>
      <c r="H72" s="94"/>
      <c r="I72" s="94"/>
      <c r="J72" s="94"/>
      <c r="K72" s="94" t="s">
        <v>252</v>
      </c>
      <c r="L72" s="94"/>
      <c r="M72" s="94"/>
      <c r="N72" s="94"/>
      <c r="O72" s="94"/>
      <c r="P72" s="94"/>
      <c r="Q72" s="94"/>
      <c r="R72" s="94"/>
      <c r="S72" s="263"/>
      <c r="T72" s="263"/>
      <c r="U72" s="263"/>
      <c r="V72" s="260"/>
      <c r="W72" s="260"/>
      <c r="X72" s="79"/>
      <c r="Y72" s="79"/>
      <c r="Z72" s="79"/>
      <c r="AA72" s="79"/>
      <c r="AB72" s="79"/>
      <c r="AC72" s="79"/>
      <c r="AD72" s="79"/>
      <c r="AE72" s="79"/>
      <c r="AF72" s="79"/>
      <c r="AG72" s="79"/>
    </row>
    <row r="73" spans="1:33" ht="15.5">
      <c r="A73" s="99"/>
      <c r="B73" s="85"/>
      <c r="C73" s="566"/>
      <c r="D73" s="565"/>
      <c r="E73" s="156"/>
      <c r="F73" s="571"/>
      <c r="G73" s="570"/>
      <c r="H73" s="94"/>
      <c r="I73" s="94"/>
      <c r="J73" s="94"/>
      <c r="K73" s="94" t="s">
        <v>251</v>
      </c>
      <c r="L73" s="94" t="s">
        <v>250</v>
      </c>
      <c r="M73" s="94"/>
      <c r="N73" s="94"/>
      <c r="O73" s="94"/>
      <c r="P73" s="94"/>
      <c r="Q73" s="94"/>
      <c r="R73" s="94"/>
      <c r="S73" s="263"/>
      <c r="T73" s="263"/>
      <c r="U73" s="263"/>
      <c r="V73" s="260"/>
      <c r="W73" s="260"/>
      <c r="X73" s="79"/>
      <c r="Y73" s="79"/>
      <c r="Z73" s="79"/>
      <c r="AA73" s="79"/>
      <c r="AB73" s="79"/>
      <c r="AC73" s="79"/>
      <c r="AD73" s="79"/>
      <c r="AE73" s="79"/>
      <c r="AF73" s="79"/>
      <c r="AG73" s="79"/>
    </row>
    <row r="74" spans="1:33">
      <c r="A74" s="99"/>
      <c r="B74" s="99"/>
      <c r="C74" s="99"/>
      <c r="D74" s="99"/>
      <c r="E74" s="99"/>
      <c r="F74" s="356"/>
      <c r="G74" s="356"/>
      <c r="H74" s="94"/>
      <c r="I74" s="94"/>
      <c r="J74" s="94" t="s">
        <v>248</v>
      </c>
      <c r="K74" s="132">
        <f>K58+K66</f>
        <v>0</v>
      </c>
      <c r="L74" s="94"/>
      <c r="M74" s="94"/>
      <c r="N74" s="94"/>
      <c r="O74" s="94"/>
      <c r="P74" s="94"/>
      <c r="Q74" s="94"/>
      <c r="R74" s="94"/>
      <c r="S74" s="263"/>
      <c r="T74" s="263"/>
      <c r="U74" s="263"/>
      <c r="V74" s="260"/>
      <c r="W74" s="260"/>
      <c r="X74" s="79"/>
      <c r="Y74" s="79"/>
      <c r="Z74" s="79"/>
      <c r="AA74" s="79"/>
      <c r="AB74" s="79"/>
      <c r="AC74" s="79"/>
      <c r="AD74" s="79"/>
      <c r="AE74" s="79"/>
      <c r="AF74" s="79"/>
      <c r="AG74" s="79"/>
    </row>
    <row r="75" spans="1:33">
      <c r="A75" s="99"/>
      <c r="B75" s="99"/>
      <c r="C75" s="99"/>
      <c r="D75" s="99"/>
      <c r="E75" s="99"/>
      <c r="F75" s="356"/>
      <c r="G75" s="356"/>
      <c r="H75" s="94"/>
      <c r="I75" s="94"/>
      <c r="J75" s="94" t="s">
        <v>249</v>
      </c>
      <c r="K75" s="94"/>
      <c r="L75" s="132" t="e">
        <f>L61+L69</f>
        <v>#N/A</v>
      </c>
      <c r="M75" s="94"/>
      <c r="N75" s="94"/>
      <c r="O75" s="94"/>
      <c r="P75" s="94"/>
      <c r="Q75" s="94"/>
      <c r="R75" s="94"/>
      <c r="S75" s="263"/>
      <c r="T75" s="263"/>
      <c r="U75" s="263"/>
      <c r="V75" s="260"/>
      <c r="W75" s="260"/>
      <c r="X75" s="79"/>
      <c r="Y75" s="79"/>
      <c r="Z75" s="79"/>
      <c r="AA75" s="79"/>
      <c r="AB75" s="79"/>
      <c r="AC75" s="79"/>
      <c r="AD75" s="79"/>
      <c r="AE75" s="79"/>
      <c r="AF75" s="79"/>
      <c r="AG75" s="79"/>
    </row>
    <row r="76" spans="1:33">
      <c r="A76" s="99"/>
      <c r="B76" s="99"/>
      <c r="C76" s="99"/>
      <c r="D76" s="99"/>
      <c r="E76" s="99"/>
      <c r="F76" s="356"/>
      <c r="G76" s="356"/>
      <c r="H76" s="94"/>
      <c r="I76" s="94"/>
      <c r="J76" s="94" t="s">
        <v>229</v>
      </c>
      <c r="K76" s="94"/>
      <c r="L76" s="129" t="e">
        <f>L62+L70</f>
        <v>#N/A</v>
      </c>
      <c r="M76" s="94"/>
      <c r="N76" s="94"/>
      <c r="O76" s="94"/>
      <c r="P76" s="94"/>
      <c r="Q76" s="94"/>
      <c r="R76" s="94"/>
      <c r="S76" s="263"/>
      <c r="T76" s="263"/>
      <c r="U76" s="263"/>
      <c r="V76" s="260"/>
      <c r="W76" s="260"/>
      <c r="X76" s="79"/>
      <c r="Y76" s="79"/>
      <c r="Z76" s="79"/>
      <c r="AA76" s="79"/>
      <c r="AB76" s="79"/>
      <c r="AC76" s="79"/>
      <c r="AD76" s="79"/>
      <c r="AE76" s="79"/>
      <c r="AF76" s="79"/>
      <c r="AG76" s="79"/>
    </row>
    <row r="77" spans="1:33">
      <c r="A77" s="99"/>
      <c r="B77" s="157"/>
      <c r="C77" s="99"/>
      <c r="D77" s="158"/>
      <c r="E77" s="99"/>
      <c r="F77" s="359"/>
      <c r="G77" s="356"/>
      <c r="H77" s="94"/>
      <c r="I77" s="94"/>
      <c r="J77" s="94"/>
      <c r="K77" s="94"/>
      <c r="L77" s="94"/>
      <c r="M77" s="94"/>
      <c r="N77" s="94"/>
      <c r="O77" s="94"/>
      <c r="P77" s="94"/>
      <c r="Q77" s="94"/>
      <c r="R77" s="94"/>
      <c r="S77" s="263"/>
      <c r="T77" s="263"/>
      <c r="U77" s="263"/>
      <c r="V77" s="260"/>
      <c r="W77" s="260"/>
      <c r="X77" s="79"/>
      <c r="Y77" s="79"/>
      <c r="Z77" s="79"/>
      <c r="AA77" s="79"/>
      <c r="AB77" s="79"/>
      <c r="AC77" s="79"/>
      <c r="AD77" s="79"/>
      <c r="AE77" s="79"/>
      <c r="AF77" s="79"/>
      <c r="AG77" s="79"/>
    </row>
    <row r="78" spans="1:33">
      <c r="F78" s="360"/>
      <c r="G78" s="360"/>
      <c r="H78" s="263"/>
      <c r="I78" s="263"/>
      <c r="J78" s="263"/>
      <c r="K78" s="263"/>
      <c r="L78" s="263"/>
      <c r="M78" s="263"/>
      <c r="N78" s="263"/>
      <c r="O78" s="263"/>
      <c r="P78" s="263"/>
      <c r="Q78" s="263"/>
      <c r="R78" s="263"/>
      <c r="S78" s="263"/>
      <c r="T78" s="263"/>
      <c r="U78" s="263"/>
      <c r="V78" s="260"/>
      <c r="W78" s="260"/>
      <c r="X78" s="79"/>
      <c r="Y78" s="79"/>
      <c r="Z78" s="79"/>
      <c r="AA78" s="79"/>
      <c r="AB78" s="79"/>
      <c r="AC78" s="79"/>
      <c r="AD78" s="79"/>
      <c r="AE78" s="79"/>
      <c r="AF78" s="79"/>
      <c r="AG78" s="79"/>
    </row>
    <row r="79" spans="1:33">
      <c r="F79" s="360"/>
      <c r="G79" s="360"/>
      <c r="H79" s="263"/>
      <c r="I79" s="263"/>
      <c r="J79" s="263"/>
      <c r="K79" s="263"/>
      <c r="L79" s="263"/>
      <c r="M79" s="263"/>
      <c r="N79" s="263"/>
      <c r="O79" s="263"/>
      <c r="P79" s="263"/>
      <c r="Q79" s="263"/>
      <c r="R79" s="263"/>
      <c r="S79" s="263"/>
      <c r="T79" s="263"/>
      <c r="U79" s="263"/>
      <c r="V79" s="260"/>
      <c r="W79" s="260"/>
      <c r="X79" s="79"/>
      <c r="Y79" s="79"/>
      <c r="Z79" s="79"/>
      <c r="AA79" s="79"/>
      <c r="AB79" s="79"/>
      <c r="AC79" s="79"/>
      <c r="AD79" s="79"/>
      <c r="AE79" s="79"/>
      <c r="AF79" s="79"/>
      <c r="AG79" s="79"/>
    </row>
    <row r="80" spans="1:33">
      <c r="F80" s="360"/>
      <c r="G80" s="360"/>
      <c r="H80" s="263"/>
      <c r="I80" s="263"/>
      <c r="J80" s="263"/>
      <c r="K80" s="263"/>
      <c r="L80" s="263"/>
      <c r="M80" s="263"/>
      <c r="N80" s="263"/>
      <c r="O80" s="263"/>
      <c r="P80" s="263"/>
      <c r="Q80" s="263"/>
      <c r="R80" s="263"/>
      <c r="S80" s="263"/>
      <c r="T80" s="263"/>
      <c r="U80" s="263"/>
      <c r="V80" s="260"/>
      <c r="W80" s="260"/>
      <c r="X80" s="79"/>
      <c r="Y80" s="79"/>
      <c r="Z80" s="79"/>
      <c r="AA80" s="79"/>
      <c r="AB80" s="79"/>
      <c r="AC80" s="79"/>
      <c r="AD80" s="79"/>
      <c r="AE80" s="79"/>
      <c r="AF80" s="79"/>
      <c r="AG80" s="79"/>
    </row>
    <row r="81" spans="6:33">
      <c r="F81" s="360"/>
      <c r="G81" s="360"/>
      <c r="H81" s="263"/>
      <c r="I81" s="263"/>
      <c r="J81" s="263"/>
      <c r="K81" s="263"/>
      <c r="L81" s="263"/>
      <c r="M81" s="263"/>
      <c r="N81" s="263"/>
      <c r="O81" s="263"/>
      <c r="P81" s="263"/>
      <c r="Q81" s="263"/>
      <c r="R81" s="263"/>
      <c r="S81" s="263"/>
      <c r="T81" s="263"/>
      <c r="U81" s="263"/>
      <c r="V81" s="260"/>
      <c r="W81" s="260"/>
      <c r="X81" s="79"/>
      <c r="Y81" s="79"/>
      <c r="Z81" s="79"/>
      <c r="AA81" s="79"/>
      <c r="AB81" s="79"/>
      <c r="AC81" s="79"/>
      <c r="AD81" s="79"/>
      <c r="AE81" s="79"/>
      <c r="AF81" s="79"/>
      <c r="AG81" s="79"/>
    </row>
    <row r="82" spans="6:33">
      <c r="F82" s="360"/>
      <c r="G82" s="360"/>
      <c r="H82" s="263"/>
      <c r="I82" s="263"/>
      <c r="J82" s="263"/>
      <c r="K82" s="263"/>
      <c r="L82" s="263"/>
      <c r="M82" s="263"/>
      <c r="N82" s="263"/>
      <c r="O82" s="263"/>
      <c r="P82" s="263"/>
      <c r="Q82" s="263"/>
      <c r="R82" s="263"/>
      <c r="S82" s="263"/>
      <c r="T82" s="263"/>
      <c r="U82" s="263"/>
      <c r="V82" s="260"/>
      <c r="W82" s="260"/>
      <c r="X82" s="79"/>
      <c r="Y82" s="79"/>
      <c r="Z82" s="79"/>
      <c r="AA82" s="79"/>
      <c r="AB82" s="79"/>
      <c r="AC82" s="79"/>
      <c r="AD82" s="79"/>
      <c r="AE82" s="79"/>
      <c r="AF82" s="79"/>
      <c r="AG82" s="79"/>
    </row>
    <row r="83" spans="6:33">
      <c r="F83" s="360"/>
      <c r="G83" s="360"/>
      <c r="H83" s="263"/>
      <c r="I83" s="263"/>
      <c r="J83" s="263"/>
      <c r="K83" s="263"/>
      <c r="L83" s="263"/>
      <c r="M83" s="263"/>
      <c r="N83" s="263"/>
      <c r="O83" s="263"/>
      <c r="P83" s="263"/>
      <c r="Q83" s="263"/>
      <c r="R83" s="263"/>
      <c r="S83" s="263"/>
      <c r="T83" s="263"/>
      <c r="U83" s="263"/>
      <c r="V83" s="260"/>
      <c r="W83" s="260"/>
      <c r="X83" s="79"/>
      <c r="Y83" s="79"/>
      <c r="Z83" s="79"/>
      <c r="AA83" s="79"/>
      <c r="AB83" s="79"/>
      <c r="AC83" s="79"/>
      <c r="AD83" s="79"/>
      <c r="AE83" s="79"/>
      <c r="AF83" s="79"/>
      <c r="AG83" s="79"/>
    </row>
    <row r="84" spans="6:33">
      <c r="F84" s="360"/>
      <c r="G84" s="360"/>
      <c r="H84" s="263"/>
      <c r="I84" s="263"/>
      <c r="J84" s="263"/>
      <c r="K84" s="263"/>
      <c r="L84" s="263"/>
      <c r="M84" s="263"/>
      <c r="N84" s="263"/>
      <c r="O84" s="263"/>
      <c r="P84" s="263"/>
      <c r="Q84" s="263"/>
      <c r="R84" s="263"/>
      <c r="S84" s="263"/>
      <c r="T84" s="263"/>
      <c r="U84" s="263"/>
      <c r="V84" s="260"/>
      <c r="W84" s="260"/>
      <c r="X84" s="79"/>
      <c r="Y84" s="79"/>
      <c r="Z84" s="79"/>
      <c r="AA84" s="79"/>
      <c r="AB84" s="79"/>
      <c r="AC84" s="79"/>
      <c r="AD84" s="79"/>
      <c r="AE84" s="79"/>
      <c r="AF84" s="79"/>
      <c r="AG84" s="79"/>
    </row>
    <row r="85" spans="6:33">
      <c r="F85" s="360"/>
      <c r="G85" s="360"/>
      <c r="H85" s="263"/>
      <c r="I85" s="263"/>
      <c r="J85" s="263"/>
      <c r="K85" s="263"/>
      <c r="L85" s="263"/>
      <c r="M85" s="263"/>
      <c r="N85" s="263"/>
      <c r="O85" s="263"/>
      <c r="P85" s="263"/>
      <c r="Q85" s="263"/>
      <c r="R85" s="263"/>
      <c r="S85" s="263"/>
      <c r="T85" s="263"/>
      <c r="U85" s="263"/>
      <c r="V85" s="260"/>
      <c r="W85" s="355"/>
    </row>
    <row r="86" spans="6:33">
      <c r="F86" s="360"/>
      <c r="G86" s="360"/>
      <c r="H86" s="263"/>
      <c r="I86" s="263"/>
      <c r="J86" s="263"/>
      <c r="K86" s="263"/>
      <c r="L86" s="263"/>
      <c r="M86" s="263"/>
      <c r="N86" s="263"/>
      <c r="O86" s="263"/>
      <c r="P86" s="263"/>
      <c r="Q86" s="263"/>
      <c r="R86" s="263"/>
      <c r="S86" s="263"/>
      <c r="T86" s="263"/>
      <c r="U86" s="263"/>
      <c r="V86" s="260"/>
      <c r="W86" s="355"/>
    </row>
    <row r="87" spans="6:33">
      <c r="F87" s="360"/>
      <c r="G87" s="360"/>
      <c r="H87" s="263"/>
      <c r="I87" s="263"/>
      <c r="J87" s="263"/>
      <c r="K87" s="263"/>
      <c r="L87" s="263"/>
      <c r="M87" s="263"/>
      <c r="N87" s="263"/>
      <c r="O87" s="263"/>
      <c r="P87" s="263"/>
      <c r="Q87" s="263"/>
      <c r="R87" s="263"/>
      <c r="S87" s="263"/>
      <c r="T87" s="263"/>
      <c r="U87" s="263"/>
      <c r="V87" s="260"/>
      <c r="W87" s="355"/>
    </row>
    <row r="88" spans="6:33">
      <c r="F88" s="360"/>
      <c r="G88" s="360"/>
      <c r="H88" s="263"/>
      <c r="I88" s="263"/>
      <c r="J88" s="263"/>
      <c r="K88" s="263"/>
      <c r="L88" s="263"/>
      <c r="M88" s="263"/>
      <c r="N88" s="263"/>
      <c r="O88" s="263"/>
      <c r="P88" s="263"/>
      <c r="Q88" s="263"/>
      <c r="R88" s="263"/>
      <c r="S88" s="263"/>
      <c r="T88" s="263"/>
      <c r="U88" s="263"/>
      <c r="V88" s="260"/>
      <c r="W88" s="355"/>
    </row>
    <row r="89" spans="6:33">
      <c r="F89" s="360"/>
      <c r="G89" s="360"/>
      <c r="H89" s="263"/>
      <c r="I89" s="263"/>
      <c r="J89" s="263"/>
      <c r="K89" s="263"/>
      <c r="L89" s="263"/>
      <c r="M89" s="263"/>
      <c r="N89" s="263"/>
      <c r="O89" s="263"/>
      <c r="P89" s="263"/>
      <c r="Q89" s="263"/>
      <c r="R89" s="263"/>
      <c r="S89" s="263"/>
      <c r="T89" s="263"/>
      <c r="U89" s="263"/>
      <c r="V89" s="260"/>
      <c r="W89" s="355"/>
    </row>
    <row r="90" spans="6:33">
      <c r="F90" s="360"/>
      <c r="G90" s="360"/>
      <c r="H90" s="263"/>
      <c r="I90" s="263"/>
      <c r="J90" s="263"/>
      <c r="K90" s="263"/>
      <c r="L90" s="263"/>
      <c r="M90" s="263"/>
      <c r="N90" s="263"/>
      <c r="O90" s="263"/>
      <c r="P90" s="263"/>
      <c r="Q90" s="263"/>
      <c r="R90" s="263"/>
      <c r="S90" s="263"/>
      <c r="T90" s="263"/>
      <c r="U90" s="263"/>
      <c r="V90" s="260"/>
      <c r="W90" s="355"/>
    </row>
    <row r="91" spans="6:33">
      <c r="F91" s="360"/>
      <c r="G91" s="360"/>
      <c r="H91" s="263"/>
      <c r="I91" s="263"/>
      <c r="J91" s="263"/>
      <c r="K91" s="263"/>
      <c r="L91" s="263"/>
      <c r="M91" s="263"/>
      <c r="N91" s="263"/>
      <c r="O91" s="263"/>
      <c r="P91" s="263"/>
      <c r="Q91" s="263"/>
      <c r="R91" s="263"/>
      <c r="S91" s="263"/>
      <c r="T91" s="263"/>
      <c r="U91" s="263"/>
      <c r="V91" s="260"/>
      <c r="W91" s="355"/>
    </row>
    <row r="92" spans="6:33">
      <c r="F92" s="360"/>
      <c r="G92" s="360"/>
      <c r="H92" s="263"/>
      <c r="I92" s="263"/>
      <c r="J92" s="263"/>
      <c r="K92" s="263"/>
      <c r="L92" s="263"/>
      <c r="M92" s="263"/>
      <c r="N92" s="263"/>
      <c r="O92" s="263"/>
      <c r="P92" s="263"/>
      <c r="Q92" s="263"/>
      <c r="R92" s="263"/>
      <c r="S92" s="263"/>
      <c r="T92" s="263"/>
      <c r="U92" s="263"/>
      <c r="V92" s="260"/>
      <c r="W92" s="355"/>
    </row>
    <row r="93" spans="6:33">
      <c r="F93" s="360"/>
      <c r="G93" s="360"/>
      <c r="H93" s="263"/>
      <c r="I93" s="263"/>
      <c r="J93" s="263"/>
      <c r="K93" s="263"/>
      <c r="L93" s="263"/>
      <c r="M93" s="263"/>
      <c r="N93" s="263"/>
      <c r="O93" s="263"/>
      <c r="P93" s="263"/>
      <c r="Q93" s="263"/>
      <c r="R93" s="263"/>
      <c r="S93" s="263"/>
      <c r="T93" s="263"/>
      <c r="U93" s="263"/>
      <c r="V93" s="260"/>
      <c r="W93" s="355"/>
    </row>
    <row r="94" spans="6:33">
      <c r="F94" s="360"/>
      <c r="G94" s="360"/>
      <c r="H94" s="263"/>
      <c r="I94" s="263"/>
      <c r="J94" s="263"/>
      <c r="K94" s="263"/>
      <c r="L94" s="263"/>
      <c r="M94" s="263"/>
      <c r="N94" s="263"/>
      <c r="O94" s="263"/>
      <c r="P94" s="263"/>
      <c r="Q94" s="263"/>
      <c r="R94" s="263"/>
      <c r="S94" s="263"/>
      <c r="T94" s="263"/>
      <c r="U94" s="263"/>
      <c r="V94" s="260"/>
      <c r="W94" s="355"/>
    </row>
    <row r="95" spans="6:33">
      <c r="F95" s="360"/>
      <c r="G95" s="360"/>
      <c r="H95" s="263"/>
      <c r="I95" s="263"/>
      <c r="J95" s="263"/>
      <c r="K95" s="263"/>
      <c r="L95" s="263"/>
      <c r="M95" s="263"/>
      <c r="N95" s="263"/>
      <c r="O95" s="263"/>
      <c r="P95" s="263"/>
      <c r="Q95" s="263"/>
      <c r="R95" s="263"/>
      <c r="S95" s="263"/>
      <c r="T95" s="263"/>
      <c r="U95" s="263"/>
      <c r="V95" s="260"/>
      <c r="W95" s="355"/>
    </row>
    <row r="96" spans="6:33">
      <c r="F96" s="360"/>
      <c r="G96" s="360"/>
      <c r="H96" s="263"/>
      <c r="I96" s="263"/>
      <c r="J96" s="263"/>
      <c r="K96" s="263"/>
      <c r="L96" s="263"/>
      <c r="M96" s="263"/>
      <c r="N96" s="263"/>
      <c r="O96" s="263"/>
      <c r="P96" s="263"/>
      <c r="Q96" s="263"/>
      <c r="R96" s="263"/>
      <c r="S96" s="263"/>
      <c r="T96" s="263"/>
      <c r="U96" s="263"/>
      <c r="V96" s="260"/>
      <c r="W96" s="355"/>
    </row>
    <row r="97" spans="6:23">
      <c r="F97" s="360"/>
      <c r="G97" s="360"/>
      <c r="H97" s="263"/>
      <c r="I97" s="263"/>
      <c r="J97" s="263"/>
      <c r="K97" s="263"/>
      <c r="L97" s="263"/>
      <c r="M97" s="263"/>
      <c r="N97" s="263"/>
      <c r="O97" s="263"/>
      <c r="P97" s="263"/>
      <c r="Q97" s="263"/>
      <c r="R97" s="263"/>
      <c r="S97" s="263"/>
      <c r="T97" s="263"/>
      <c r="U97" s="263"/>
      <c r="V97" s="260"/>
      <c r="W97" s="355"/>
    </row>
    <row r="98" spans="6:23">
      <c r="F98" s="360"/>
      <c r="G98" s="360"/>
      <c r="H98" s="263"/>
      <c r="I98" s="263"/>
      <c r="J98" s="263"/>
      <c r="K98" s="263"/>
      <c r="L98" s="263"/>
      <c r="M98" s="263"/>
      <c r="N98" s="263"/>
      <c r="O98" s="263"/>
      <c r="P98" s="263"/>
      <c r="Q98" s="263"/>
      <c r="R98" s="263"/>
      <c r="S98" s="263"/>
      <c r="T98" s="263"/>
      <c r="U98" s="263"/>
      <c r="V98" s="260"/>
      <c r="W98" s="355"/>
    </row>
    <row r="99" spans="6:23">
      <c r="F99" s="360"/>
      <c r="G99" s="360"/>
      <c r="H99" s="263"/>
      <c r="I99" s="263"/>
      <c r="J99" s="263"/>
      <c r="K99" s="263"/>
      <c r="L99" s="263"/>
      <c r="M99" s="263"/>
      <c r="N99" s="263"/>
      <c r="O99" s="263"/>
      <c r="P99" s="263"/>
      <c r="Q99" s="263"/>
      <c r="R99" s="263"/>
      <c r="S99" s="263"/>
      <c r="T99" s="263"/>
      <c r="U99" s="263"/>
      <c r="V99" s="260"/>
      <c r="W99" s="355"/>
    </row>
    <row r="100" spans="6:23">
      <c r="F100" s="360"/>
      <c r="G100" s="360"/>
      <c r="H100" s="263"/>
      <c r="I100" s="263"/>
      <c r="J100" s="263"/>
      <c r="K100" s="263"/>
      <c r="L100" s="263"/>
      <c r="M100" s="263"/>
      <c r="N100" s="263"/>
      <c r="O100" s="263"/>
      <c r="P100" s="263"/>
      <c r="Q100" s="263"/>
      <c r="R100" s="263"/>
      <c r="S100" s="263"/>
      <c r="T100" s="263"/>
      <c r="U100" s="263"/>
      <c r="V100" s="260"/>
      <c r="W100" s="355"/>
    </row>
    <row r="101" spans="6:23">
      <c r="F101" s="360"/>
      <c r="G101" s="360"/>
      <c r="H101" s="263"/>
      <c r="I101" s="263"/>
      <c r="J101" s="263"/>
      <c r="K101" s="263"/>
      <c r="L101" s="263"/>
      <c r="M101" s="263"/>
      <c r="N101" s="263"/>
      <c r="O101" s="263"/>
      <c r="P101" s="263"/>
      <c r="Q101" s="263"/>
      <c r="R101" s="263"/>
      <c r="S101" s="263"/>
      <c r="T101" s="263"/>
      <c r="U101" s="263"/>
      <c r="V101" s="260"/>
      <c r="W101" s="355"/>
    </row>
    <row r="102" spans="6:23">
      <c r="F102" s="360"/>
      <c r="G102" s="360"/>
      <c r="H102" s="263"/>
      <c r="I102" s="263"/>
      <c r="J102" s="263"/>
      <c r="K102" s="263"/>
      <c r="L102" s="263"/>
      <c r="M102" s="263"/>
      <c r="N102" s="263"/>
      <c r="O102" s="263"/>
      <c r="P102" s="263"/>
      <c r="Q102" s="263"/>
      <c r="R102" s="263"/>
      <c r="S102" s="263"/>
      <c r="T102" s="263"/>
      <c r="U102" s="263"/>
      <c r="V102" s="260"/>
      <c r="W102" s="355"/>
    </row>
    <row r="103" spans="6:23">
      <c r="F103" s="360"/>
      <c r="G103" s="360"/>
      <c r="H103" s="263"/>
      <c r="I103" s="263"/>
      <c r="J103" s="263"/>
      <c r="K103" s="263"/>
      <c r="L103" s="263"/>
      <c r="M103" s="263"/>
      <c r="N103" s="263"/>
      <c r="O103" s="263"/>
      <c r="P103" s="263"/>
      <c r="Q103" s="263"/>
      <c r="R103" s="263"/>
      <c r="S103" s="263"/>
      <c r="T103" s="263"/>
      <c r="U103" s="263"/>
      <c r="V103" s="260"/>
      <c r="W103" s="355"/>
    </row>
    <row r="104" spans="6:23">
      <c r="F104" s="360"/>
      <c r="G104" s="360"/>
      <c r="H104" s="263"/>
      <c r="I104" s="263"/>
      <c r="J104" s="263"/>
      <c r="K104" s="263"/>
      <c r="L104" s="263"/>
      <c r="M104" s="263"/>
      <c r="N104" s="263"/>
      <c r="O104" s="263"/>
      <c r="P104" s="263"/>
      <c r="Q104" s="263"/>
      <c r="R104" s="263"/>
      <c r="S104" s="263"/>
      <c r="T104" s="263"/>
      <c r="U104" s="263"/>
      <c r="V104" s="260"/>
      <c r="W104" s="355"/>
    </row>
    <row r="105" spans="6:23">
      <c r="F105" s="360"/>
      <c r="G105" s="360"/>
      <c r="H105" s="263"/>
      <c r="I105" s="263"/>
      <c r="J105" s="263"/>
      <c r="K105" s="263"/>
      <c r="L105" s="263"/>
      <c r="M105" s="263"/>
      <c r="N105" s="263"/>
      <c r="O105" s="263"/>
      <c r="P105" s="263"/>
      <c r="Q105" s="263"/>
      <c r="R105" s="263"/>
      <c r="S105" s="263"/>
      <c r="T105" s="263"/>
      <c r="U105" s="263"/>
      <c r="V105" s="260"/>
      <c r="W105" s="355"/>
    </row>
    <row r="106" spans="6:23">
      <c r="F106" s="360"/>
      <c r="G106" s="360"/>
      <c r="H106" s="263"/>
      <c r="I106" s="263"/>
      <c r="J106" s="263"/>
      <c r="K106" s="263"/>
      <c r="L106" s="263"/>
      <c r="M106" s="263"/>
      <c r="N106" s="263"/>
      <c r="O106" s="263"/>
      <c r="P106" s="263"/>
      <c r="Q106" s="263"/>
      <c r="R106" s="263"/>
      <c r="S106" s="263"/>
      <c r="T106" s="263"/>
      <c r="U106" s="263"/>
      <c r="V106" s="260"/>
      <c r="W106" s="355"/>
    </row>
    <row r="107" spans="6:23">
      <c r="H107" s="263"/>
      <c r="I107" s="263"/>
      <c r="J107" s="263"/>
      <c r="K107" s="263"/>
      <c r="L107" s="263"/>
      <c r="M107" s="263"/>
      <c r="N107" s="263"/>
      <c r="O107" s="263"/>
      <c r="P107" s="263"/>
      <c r="Q107" s="263"/>
      <c r="R107" s="263"/>
      <c r="S107" s="263"/>
      <c r="T107" s="263"/>
      <c r="U107" s="263"/>
      <c r="V107" s="260"/>
      <c r="W107" s="355"/>
    </row>
    <row r="108" spans="6:23">
      <c r="H108" s="263"/>
      <c r="I108" s="263"/>
      <c r="J108" s="263"/>
      <c r="K108" s="263"/>
      <c r="L108" s="263"/>
      <c r="M108" s="263"/>
      <c r="N108" s="263"/>
      <c r="O108" s="263"/>
      <c r="P108" s="263"/>
      <c r="Q108" s="263"/>
      <c r="R108" s="263"/>
      <c r="S108" s="263"/>
      <c r="T108" s="263"/>
      <c r="U108" s="263"/>
      <c r="V108" s="260"/>
      <c r="W108" s="355"/>
    </row>
    <row r="109" spans="6:23">
      <c r="H109" s="263"/>
      <c r="I109" s="263"/>
      <c r="J109" s="263"/>
      <c r="K109" s="263"/>
      <c r="L109" s="263"/>
      <c r="M109" s="263"/>
      <c r="N109" s="263"/>
      <c r="O109" s="263"/>
      <c r="P109" s="263"/>
      <c r="Q109" s="263"/>
      <c r="R109" s="263"/>
      <c r="S109" s="263"/>
      <c r="T109" s="263"/>
      <c r="U109" s="263"/>
      <c r="V109" s="355"/>
      <c r="W109" s="355"/>
    </row>
    <row r="110" spans="6:23">
      <c r="H110" s="263"/>
      <c r="I110" s="263"/>
      <c r="J110" s="263"/>
      <c r="K110" s="263"/>
      <c r="L110" s="263"/>
      <c r="M110" s="263"/>
      <c r="N110" s="263"/>
      <c r="O110" s="263"/>
      <c r="P110" s="263"/>
      <c r="Q110" s="263"/>
      <c r="R110" s="263"/>
      <c r="S110" s="263"/>
      <c r="T110" s="263"/>
      <c r="U110" s="263"/>
      <c r="V110" s="355"/>
      <c r="W110" s="355"/>
    </row>
    <row r="111" spans="6:23">
      <c r="H111" s="263"/>
      <c r="I111" s="263"/>
      <c r="J111" s="263"/>
      <c r="K111" s="263"/>
      <c r="L111" s="263"/>
      <c r="M111" s="263"/>
      <c r="N111" s="263"/>
      <c r="O111" s="263"/>
      <c r="P111" s="263"/>
      <c r="Q111" s="263"/>
      <c r="R111" s="263"/>
      <c r="S111" s="263"/>
      <c r="T111" s="263"/>
      <c r="U111" s="263"/>
      <c r="V111" s="355"/>
      <c r="W111" s="355"/>
    </row>
    <row r="112" spans="6:23">
      <c r="H112" s="263"/>
      <c r="I112" s="263"/>
      <c r="J112" s="263"/>
      <c r="K112" s="263"/>
      <c r="L112" s="263"/>
      <c r="M112" s="263"/>
      <c r="N112" s="263"/>
      <c r="O112" s="263"/>
      <c r="P112" s="263"/>
      <c r="Q112" s="263"/>
      <c r="R112" s="263"/>
      <c r="S112" s="263"/>
      <c r="T112" s="263"/>
      <c r="U112" s="263"/>
      <c r="V112" s="355"/>
      <c r="W112" s="355"/>
    </row>
    <row r="113" spans="8:23">
      <c r="H113" s="263"/>
      <c r="I113" s="263"/>
      <c r="J113" s="263"/>
      <c r="K113" s="263"/>
      <c r="L113" s="263"/>
      <c r="M113" s="263"/>
      <c r="N113" s="263"/>
      <c r="O113" s="263"/>
      <c r="P113" s="263"/>
      <c r="Q113" s="263"/>
      <c r="R113" s="263"/>
      <c r="S113" s="263"/>
      <c r="T113" s="263"/>
      <c r="U113" s="263"/>
      <c r="V113" s="355"/>
      <c r="W113" s="355"/>
    </row>
    <row r="114" spans="8:23">
      <c r="H114" s="263"/>
      <c r="I114" s="263"/>
      <c r="J114" s="263"/>
      <c r="K114" s="263"/>
      <c r="L114" s="263"/>
      <c r="M114" s="263"/>
      <c r="N114" s="263"/>
      <c r="O114" s="263"/>
      <c r="P114" s="263"/>
      <c r="Q114" s="263"/>
      <c r="R114" s="263"/>
      <c r="S114" s="263"/>
      <c r="T114" s="263"/>
      <c r="U114" s="263"/>
      <c r="V114" s="355"/>
      <c r="W114" s="355"/>
    </row>
    <row r="115" spans="8:23">
      <c r="H115" s="263"/>
      <c r="I115" s="263"/>
      <c r="J115" s="263"/>
      <c r="K115" s="263"/>
      <c r="L115" s="263"/>
      <c r="M115" s="263"/>
      <c r="N115" s="263"/>
      <c r="O115" s="263"/>
      <c r="P115" s="263"/>
      <c r="Q115" s="263"/>
      <c r="R115" s="263"/>
      <c r="S115" s="263"/>
      <c r="T115" s="263"/>
      <c r="U115" s="263"/>
      <c r="V115" s="355"/>
      <c r="W115" s="355"/>
    </row>
    <row r="116" spans="8:23">
      <c r="H116" s="263"/>
      <c r="I116" s="263"/>
      <c r="J116" s="263"/>
      <c r="K116" s="263"/>
      <c r="L116" s="263"/>
      <c r="M116" s="263"/>
      <c r="N116" s="263"/>
      <c r="O116" s="263"/>
      <c r="P116" s="263"/>
      <c r="Q116" s="263"/>
      <c r="R116" s="263"/>
      <c r="S116" s="263"/>
      <c r="T116" s="263"/>
      <c r="U116" s="263"/>
      <c r="V116" s="355"/>
      <c r="W116" s="355"/>
    </row>
    <row r="117" spans="8:23">
      <c r="H117" s="263"/>
      <c r="I117" s="263"/>
      <c r="J117" s="263"/>
      <c r="K117" s="263"/>
      <c r="L117" s="263"/>
      <c r="M117" s="263"/>
      <c r="N117" s="263"/>
      <c r="O117" s="263"/>
      <c r="P117" s="263"/>
      <c r="Q117" s="263"/>
      <c r="R117" s="263"/>
      <c r="S117" s="263"/>
      <c r="T117" s="263"/>
      <c r="U117" s="263"/>
      <c r="V117" s="355"/>
      <c r="W117" s="355"/>
    </row>
    <row r="118" spans="8:23">
      <c r="H118" s="263"/>
      <c r="I118" s="263"/>
      <c r="J118" s="263"/>
      <c r="K118" s="263"/>
      <c r="L118" s="263"/>
      <c r="M118" s="263"/>
      <c r="N118" s="263"/>
      <c r="O118" s="263"/>
      <c r="P118" s="263"/>
      <c r="Q118" s="263"/>
      <c r="R118" s="263"/>
      <c r="S118" s="263"/>
      <c r="T118" s="263"/>
      <c r="U118" s="263"/>
      <c r="V118" s="355"/>
      <c r="W118" s="355"/>
    </row>
    <row r="119" spans="8:23">
      <c r="H119" s="263"/>
      <c r="I119" s="263"/>
      <c r="J119" s="263"/>
      <c r="K119" s="263"/>
      <c r="L119" s="263"/>
      <c r="M119" s="263"/>
      <c r="N119" s="263"/>
      <c r="O119" s="263"/>
      <c r="P119" s="263"/>
      <c r="Q119" s="263"/>
      <c r="R119" s="263"/>
      <c r="S119" s="263"/>
      <c r="T119" s="263"/>
      <c r="U119" s="263"/>
      <c r="V119" s="355"/>
      <c r="W119" s="355"/>
    </row>
    <row r="120" spans="8:23">
      <c r="H120" s="263"/>
      <c r="I120" s="263"/>
      <c r="J120" s="263"/>
      <c r="K120" s="263"/>
      <c r="L120" s="263"/>
      <c r="M120" s="263"/>
      <c r="N120" s="263"/>
      <c r="O120" s="263"/>
      <c r="P120" s="263"/>
      <c r="Q120" s="263"/>
      <c r="R120" s="263"/>
      <c r="S120" s="263"/>
      <c r="T120" s="263"/>
      <c r="U120" s="263"/>
      <c r="V120" s="355"/>
      <c r="W120" s="355"/>
    </row>
    <row r="121" spans="8:23">
      <c r="H121" s="263"/>
      <c r="I121" s="263"/>
      <c r="J121" s="263"/>
      <c r="K121" s="263"/>
      <c r="L121" s="263"/>
      <c r="M121" s="263"/>
      <c r="N121" s="263"/>
      <c r="O121" s="263"/>
      <c r="P121" s="263"/>
      <c r="Q121" s="263"/>
      <c r="R121" s="263"/>
      <c r="S121" s="263"/>
      <c r="T121" s="263"/>
      <c r="U121" s="263"/>
      <c r="V121" s="355"/>
      <c r="W121" s="355"/>
    </row>
    <row r="122" spans="8:23">
      <c r="H122" s="263"/>
      <c r="I122" s="263"/>
      <c r="J122" s="263"/>
      <c r="K122" s="263"/>
      <c r="L122" s="263"/>
      <c r="M122" s="263"/>
      <c r="N122" s="263"/>
      <c r="O122" s="263"/>
      <c r="P122" s="263"/>
      <c r="Q122" s="263"/>
      <c r="R122" s="263"/>
      <c r="S122" s="263"/>
      <c r="T122" s="263"/>
      <c r="U122" s="263"/>
      <c r="V122" s="355"/>
      <c r="W122" s="355"/>
    </row>
    <row r="123" spans="8:23">
      <c r="H123" s="263"/>
      <c r="I123" s="263"/>
      <c r="J123" s="263"/>
      <c r="K123" s="263"/>
      <c r="L123" s="263"/>
      <c r="M123" s="263"/>
      <c r="N123" s="263"/>
      <c r="O123" s="263"/>
      <c r="P123" s="263"/>
      <c r="Q123" s="263"/>
      <c r="R123" s="263"/>
      <c r="S123" s="263"/>
      <c r="T123" s="263"/>
      <c r="U123" s="263"/>
      <c r="V123" s="355"/>
      <c r="W123" s="355"/>
    </row>
    <row r="124" spans="8:23">
      <c r="H124" s="263"/>
      <c r="I124" s="263"/>
      <c r="J124" s="263"/>
      <c r="K124" s="263"/>
      <c r="L124" s="263"/>
      <c r="M124" s="263"/>
      <c r="N124" s="263"/>
      <c r="O124" s="263"/>
      <c r="P124" s="263"/>
      <c r="Q124" s="263"/>
      <c r="R124" s="263"/>
      <c r="S124" s="263"/>
      <c r="T124" s="263"/>
      <c r="U124" s="263"/>
      <c r="V124" s="355"/>
      <c r="W124" s="355"/>
    </row>
    <row r="125" spans="8:23">
      <c r="H125" s="263"/>
      <c r="I125" s="263"/>
      <c r="J125" s="263"/>
      <c r="K125" s="263"/>
      <c r="L125" s="263"/>
      <c r="M125" s="263"/>
      <c r="N125" s="263"/>
      <c r="O125" s="263"/>
      <c r="P125" s="263"/>
      <c r="Q125" s="263"/>
      <c r="R125" s="263"/>
      <c r="S125" s="263"/>
      <c r="T125" s="263"/>
      <c r="U125" s="263"/>
      <c r="V125" s="355"/>
      <c r="W125" s="355"/>
    </row>
    <row r="126" spans="8:23">
      <c r="H126" s="263"/>
      <c r="I126" s="263"/>
      <c r="J126" s="263"/>
      <c r="K126" s="263"/>
      <c r="L126" s="263"/>
      <c r="M126" s="263"/>
      <c r="N126" s="263"/>
      <c r="O126" s="263"/>
      <c r="P126" s="263"/>
      <c r="Q126" s="263"/>
      <c r="R126" s="263"/>
      <c r="S126" s="263"/>
      <c r="T126" s="263"/>
      <c r="U126" s="263"/>
      <c r="V126" s="355"/>
      <c r="W126" s="355"/>
    </row>
    <row r="127" spans="8:23">
      <c r="H127" s="263"/>
      <c r="I127" s="263"/>
      <c r="J127" s="263"/>
      <c r="K127" s="263"/>
      <c r="L127" s="263"/>
      <c r="M127" s="263"/>
      <c r="N127" s="263"/>
      <c r="O127" s="263"/>
      <c r="P127" s="263"/>
      <c r="Q127" s="263"/>
      <c r="R127" s="263"/>
      <c r="S127" s="263"/>
      <c r="T127" s="263"/>
      <c r="U127" s="263"/>
      <c r="V127" s="355"/>
      <c r="W127" s="355"/>
    </row>
    <row r="128" spans="8:23">
      <c r="H128" s="263"/>
      <c r="I128" s="263"/>
      <c r="J128" s="263"/>
      <c r="K128" s="263"/>
      <c r="L128" s="263"/>
      <c r="M128" s="263"/>
      <c r="N128" s="263"/>
      <c r="O128" s="263"/>
      <c r="P128" s="263"/>
      <c r="Q128" s="263"/>
      <c r="R128" s="263"/>
      <c r="S128" s="263"/>
      <c r="T128" s="263"/>
      <c r="U128" s="263"/>
      <c r="V128" s="355"/>
      <c r="W128" s="355"/>
    </row>
    <row r="129" spans="8:23">
      <c r="H129" s="263"/>
      <c r="I129" s="263"/>
      <c r="J129" s="263"/>
      <c r="K129" s="263"/>
      <c r="L129" s="263"/>
      <c r="M129" s="263"/>
      <c r="N129" s="263"/>
      <c r="O129" s="263"/>
      <c r="P129" s="263"/>
      <c r="Q129" s="263"/>
      <c r="R129" s="263"/>
      <c r="S129" s="263"/>
      <c r="T129" s="263"/>
      <c r="U129" s="263"/>
      <c r="V129" s="355"/>
      <c r="W129" s="355"/>
    </row>
    <row r="130" spans="8:23">
      <c r="H130" s="263"/>
      <c r="I130" s="263"/>
      <c r="J130" s="263"/>
      <c r="K130" s="263"/>
      <c r="L130" s="263"/>
      <c r="M130" s="263"/>
      <c r="N130" s="263"/>
      <c r="O130" s="263"/>
      <c r="P130" s="263"/>
      <c r="Q130" s="263"/>
      <c r="R130" s="263"/>
      <c r="S130" s="263"/>
      <c r="T130" s="263"/>
      <c r="U130" s="263"/>
      <c r="V130" s="355"/>
      <c r="W130" s="355"/>
    </row>
    <row r="131" spans="8:23">
      <c r="H131" s="263"/>
      <c r="I131" s="263"/>
      <c r="J131" s="263"/>
      <c r="K131" s="263"/>
      <c r="L131" s="263"/>
      <c r="M131" s="263"/>
      <c r="N131" s="263"/>
      <c r="O131" s="263"/>
      <c r="P131" s="263"/>
      <c r="Q131" s="263"/>
      <c r="R131" s="263"/>
      <c r="S131" s="263"/>
      <c r="T131" s="263"/>
      <c r="U131" s="263"/>
      <c r="V131" s="355"/>
      <c r="W131" s="355"/>
    </row>
    <row r="132" spans="8:23">
      <c r="H132" s="263"/>
      <c r="I132" s="263"/>
      <c r="J132" s="263"/>
      <c r="K132" s="263"/>
      <c r="L132" s="263"/>
      <c r="M132" s="263"/>
      <c r="N132" s="263"/>
      <c r="O132" s="263"/>
      <c r="P132" s="263"/>
      <c r="Q132" s="263"/>
      <c r="R132" s="263"/>
      <c r="S132" s="263"/>
      <c r="T132" s="263"/>
      <c r="U132" s="263"/>
      <c r="V132" s="355"/>
      <c r="W132" s="355"/>
    </row>
    <row r="133" spans="8:23">
      <c r="H133" s="263"/>
      <c r="I133" s="263"/>
      <c r="J133" s="263"/>
      <c r="K133" s="263"/>
      <c r="L133" s="263"/>
      <c r="M133" s="263"/>
      <c r="N133" s="263"/>
      <c r="O133" s="263"/>
      <c r="P133" s="263"/>
      <c r="Q133" s="263"/>
      <c r="R133" s="263"/>
      <c r="S133" s="263"/>
      <c r="T133" s="263"/>
      <c r="U133" s="263"/>
      <c r="V133" s="355"/>
      <c r="W133" s="355"/>
    </row>
    <row r="134" spans="8:23">
      <c r="H134" s="263"/>
      <c r="I134" s="263"/>
      <c r="J134" s="263"/>
      <c r="K134" s="263"/>
      <c r="L134" s="263"/>
      <c r="M134" s="263"/>
      <c r="N134" s="263"/>
      <c r="O134" s="263"/>
      <c r="P134" s="263"/>
      <c r="Q134" s="263"/>
      <c r="R134" s="263"/>
      <c r="S134" s="263"/>
      <c r="T134" s="263"/>
      <c r="U134" s="263"/>
      <c r="V134" s="355"/>
      <c r="W134" s="355"/>
    </row>
    <row r="135" spans="8:23">
      <c r="H135" s="263"/>
      <c r="I135" s="263"/>
      <c r="J135" s="263"/>
      <c r="K135" s="263"/>
      <c r="L135" s="263"/>
      <c r="M135" s="263"/>
      <c r="N135" s="263"/>
      <c r="O135" s="263"/>
      <c r="P135" s="263"/>
      <c r="Q135" s="263"/>
      <c r="R135" s="263"/>
      <c r="S135" s="263"/>
      <c r="T135" s="263"/>
      <c r="U135" s="263"/>
      <c r="V135" s="355"/>
      <c r="W135" s="355"/>
    </row>
    <row r="136" spans="8:23">
      <c r="H136" s="263"/>
      <c r="I136" s="263"/>
      <c r="J136" s="263"/>
      <c r="K136" s="263"/>
      <c r="L136" s="263"/>
      <c r="M136" s="263"/>
      <c r="N136" s="263"/>
      <c r="O136" s="263"/>
      <c r="P136" s="263"/>
      <c r="Q136" s="263"/>
      <c r="R136" s="263"/>
      <c r="S136" s="263"/>
      <c r="T136" s="263"/>
      <c r="U136" s="263"/>
      <c r="V136" s="355"/>
      <c r="W136" s="355"/>
    </row>
    <row r="137" spans="8:23">
      <c r="H137" s="263"/>
      <c r="I137" s="263"/>
      <c r="J137" s="263"/>
      <c r="K137" s="263"/>
      <c r="L137" s="263"/>
      <c r="M137" s="263"/>
      <c r="N137" s="263"/>
      <c r="O137" s="263"/>
      <c r="P137" s="263"/>
      <c r="Q137" s="263"/>
      <c r="R137" s="263"/>
      <c r="S137" s="263"/>
      <c r="T137" s="263"/>
      <c r="U137" s="263"/>
      <c r="V137" s="355"/>
      <c r="W137" s="355"/>
    </row>
    <row r="138" spans="8:23">
      <c r="H138" s="263"/>
      <c r="I138" s="263"/>
      <c r="J138" s="263"/>
      <c r="K138" s="263"/>
      <c r="L138" s="263"/>
      <c r="M138" s="263"/>
      <c r="N138" s="263"/>
      <c r="O138" s="263"/>
      <c r="P138" s="263"/>
      <c r="Q138" s="263"/>
      <c r="R138" s="263"/>
      <c r="S138" s="263"/>
      <c r="T138" s="263"/>
      <c r="U138" s="263"/>
      <c r="V138" s="355"/>
      <c r="W138" s="355"/>
    </row>
    <row r="139" spans="8:23">
      <c r="H139" s="263"/>
      <c r="I139" s="263"/>
      <c r="J139" s="263"/>
      <c r="K139" s="263"/>
      <c r="L139" s="263"/>
      <c r="M139" s="263"/>
      <c r="N139" s="263"/>
      <c r="O139" s="263"/>
      <c r="P139" s="263"/>
      <c r="Q139" s="263"/>
      <c r="R139" s="263"/>
      <c r="S139" s="263"/>
      <c r="T139" s="263"/>
      <c r="U139" s="263"/>
      <c r="V139" s="355"/>
      <c r="W139" s="355"/>
    </row>
    <row r="140" spans="8:23">
      <c r="H140" s="263"/>
      <c r="I140" s="263"/>
      <c r="J140" s="263"/>
      <c r="K140" s="263"/>
      <c r="L140" s="263"/>
      <c r="M140" s="263"/>
      <c r="N140" s="263"/>
      <c r="O140" s="263"/>
      <c r="P140" s="263"/>
      <c r="Q140" s="263"/>
      <c r="R140" s="263"/>
      <c r="S140" s="263"/>
      <c r="T140" s="263"/>
      <c r="U140" s="263"/>
      <c r="V140" s="355"/>
      <c r="W140" s="355"/>
    </row>
    <row r="141" spans="8:23">
      <c r="H141" s="263"/>
      <c r="I141" s="263"/>
      <c r="J141" s="263"/>
      <c r="K141" s="263"/>
      <c r="L141" s="263"/>
      <c r="M141" s="263"/>
      <c r="N141" s="263"/>
      <c r="O141" s="263"/>
      <c r="P141" s="263"/>
      <c r="Q141" s="263"/>
      <c r="R141" s="263"/>
      <c r="S141" s="263"/>
      <c r="T141" s="263"/>
      <c r="U141" s="263"/>
      <c r="V141" s="355"/>
      <c r="W141" s="355"/>
    </row>
    <row r="142" spans="8:23">
      <c r="H142" s="263"/>
      <c r="I142" s="263"/>
      <c r="J142" s="263"/>
      <c r="K142" s="263"/>
      <c r="L142" s="263"/>
      <c r="M142" s="263"/>
      <c r="N142" s="263"/>
      <c r="O142" s="263"/>
      <c r="P142" s="263"/>
      <c r="Q142" s="263"/>
      <c r="R142" s="263"/>
      <c r="S142" s="263"/>
      <c r="T142" s="263"/>
      <c r="U142" s="263"/>
      <c r="V142" s="355"/>
      <c r="W142" s="355"/>
    </row>
    <row r="143" spans="8:23">
      <c r="H143" s="263"/>
      <c r="I143" s="263"/>
      <c r="J143" s="263"/>
      <c r="K143" s="263"/>
      <c r="L143" s="263"/>
      <c r="M143" s="263"/>
      <c r="N143" s="263"/>
      <c r="O143" s="263"/>
      <c r="P143" s="263"/>
      <c r="Q143" s="263"/>
      <c r="R143" s="263"/>
      <c r="S143" s="263"/>
      <c r="T143" s="263"/>
      <c r="U143" s="263"/>
      <c r="V143" s="355"/>
      <c r="W143" s="355"/>
    </row>
    <row r="144" spans="8:23">
      <c r="H144" s="263"/>
      <c r="I144" s="263"/>
      <c r="J144" s="263"/>
      <c r="K144" s="263"/>
      <c r="L144" s="263"/>
      <c r="M144" s="263"/>
      <c r="N144" s="263"/>
      <c r="O144" s="263"/>
      <c r="P144" s="263"/>
      <c r="Q144" s="263"/>
      <c r="R144" s="263"/>
      <c r="S144" s="263"/>
      <c r="T144" s="263"/>
      <c r="U144" s="263"/>
      <c r="V144" s="355"/>
      <c r="W144" s="355"/>
    </row>
    <row r="145" spans="8:23">
      <c r="H145" s="263"/>
      <c r="I145" s="263"/>
      <c r="J145" s="263"/>
      <c r="K145" s="263"/>
      <c r="L145" s="263"/>
      <c r="M145" s="263"/>
      <c r="N145" s="263"/>
      <c r="O145" s="263"/>
      <c r="P145" s="263"/>
      <c r="Q145" s="263"/>
      <c r="R145" s="263"/>
      <c r="S145" s="263"/>
      <c r="T145" s="263"/>
      <c r="U145" s="263"/>
      <c r="V145" s="355"/>
      <c r="W145" s="355"/>
    </row>
    <row r="146" spans="8:23">
      <c r="H146" s="263"/>
      <c r="I146" s="263"/>
      <c r="J146" s="263"/>
      <c r="K146" s="263"/>
      <c r="L146" s="263"/>
      <c r="M146" s="263"/>
      <c r="N146" s="263"/>
      <c r="O146" s="263"/>
      <c r="P146" s="263"/>
      <c r="Q146" s="263"/>
      <c r="R146" s="263"/>
      <c r="S146" s="263"/>
      <c r="T146" s="263"/>
      <c r="U146" s="263"/>
      <c r="V146" s="355"/>
      <c r="W146" s="355"/>
    </row>
    <row r="147" spans="8:23">
      <c r="H147" s="263"/>
      <c r="I147" s="263"/>
      <c r="J147" s="263"/>
      <c r="K147" s="263"/>
      <c r="L147" s="263"/>
      <c r="M147" s="263"/>
      <c r="N147" s="263"/>
      <c r="O147" s="263"/>
      <c r="P147" s="263"/>
      <c r="Q147" s="263"/>
      <c r="R147" s="263"/>
      <c r="S147" s="263"/>
      <c r="T147" s="263"/>
      <c r="U147" s="263"/>
    </row>
    <row r="148" spans="8:23">
      <c r="H148" s="263"/>
      <c r="I148" s="263"/>
      <c r="J148" s="263"/>
      <c r="K148" s="263"/>
      <c r="L148" s="263"/>
      <c r="M148" s="263"/>
      <c r="N148" s="263"/>
      <c r="O148" s="263"/>
      <c r="P148" s="263"/>
      <c r="Q148" s="263"/>
      <c r="R148" s="263"/>
      <c r="S148" s="263"/>
      <c r="T148" s="263"/>
      <c r="U148" s="263"/>
    </row>
    <row r="149" spans="8:23">
      <c r="H149" s="263"/>
      <c r="I149" s="263"/>
      <c r="J149" s="263"/>
      <c r="K149" s="263"/>
      <c r="L149" s="263"/>
      <c r="M149" s="263"/>
      <c r="N149" s="263"/>
      <c r="O149" s="263"/>
      <c r="P149" s="263"/>
      <c r="Q149" s="263"/>
      <c r="R149" s="263"/>
      <c r="S149" s="263"/>
      <c r="T149" s="263"/>
      <c r="U149" s="263"/>
    </row>
    <row r="167" spans="2:2">
      <c r="B167" s="79"/>
    </row>
  </sheetData>
  <sheetProtection algorithmName="SHA-512" hashValue="HhhUqk9TDi+6LnPSonN2W0sqqsv8TNOiJXCBOb6rMCBge4YaMpeNV5BAcy2cGrdm/b5ckVpoDHI6REhzLI5vwA==" saltValue="JoBcym9oahKR9YlC9uA4GQ==" spinCount="100000" sheet="1" objects="1" scenarios="1"/>
  <mergeCells count="14">
    <mergeCell ref="F72:G72"/>
    <mergeCell ref="F73:G73"/>
    <mergeCell ref="F67:G67"/>
    <mergeCell ref="F68:G68"/>
    <mergeCell ref="F69:G69"/>
    <mergeCell ref="F70:G70"/>
    <mergeCell ref="F71:G71"/>
    <mergeCell ref="C72:D72"/>
    <mergeCell ref="C73:D73"/>
    <mergeCell ref="C67:D67"/>
    <mergeCell ref="C69:D69"/>
    <mergeCell ref="C68:D68"/>
    <mergeCell ref="C70:D70"/>
    <mergeCell ref="C71:D71"/>
  </mergeCells>
  <conditionalFormatting sqref="C28">
    <cfRule type="cellIs" dxfId="16" priority="11" operator="lessThan">
      <formula>0</formula>
    </cfRule>
    <cfRule type="cellIs" dxfId="15" priority="12" operator="greaterThan">
      <formula>1</formula>
    </cfRule>
  </conditionalFormatting>
  <conditionalFormatting sqref="C73">
    <cfRule type="cellIs" dxfId="14" priority="7" operator="lessThan">
      <formula>0</formula>
    </cfRule>
    <cfRule type="cellIs" dxfId="13" priority="8" operator="greaterThan">
      <formula>1</formula>
    </cfRule>
  </conditionalFormatting>
  <conditionalFormatting sqref="E73:F73">
    <cfRule type="cellIs" dxfId="12" priority="3" operator="lessThan">
      <formula>0</formula>
    </cfRule>
    <cfRule type="cellIs" dxfId="11" priority="4" operator="greaterThan">
      <formula>1</formula>
    </cfRule>
  </conditionalFormatting>
  <conditionalFormatting sqref="F28">
    <cfRule type="cellIs" dxfId="10" priority="1" operator="lessThan">
      <formula>0</formula>
    </cfRule>
    <cfRule type="cellIs" dxfId="9" priority="2" operator="greaterThan">
      <formula>1</formula>
    </cfRule>
  </conditionalFormatting>
  <hyperlinks>
    <hyperlink ref="F61" location="'Max Volumen'!A1" display="weiter" xr:uid="{1F0D022B-7FED-468E-B840-D6FAF467759A}"/>
    <hyperlink ref="B61" location="Rentenlücke!A1" display="zurück" xr:uid="{F5403880-29E6-47A1-AE06-F4A87F2EA42B}"/>
    <hyperlink ref="D61" location="'Eingabe Käuferdaten'!A1" display="Menü" xr:uid="{0CC0D805-6E83-4FDD-810B-1D4FA4AC25F5}"/>
    <hyperlink ref="F30" location="Rentenlücke!A65" display="Zur Zusammenfassung" xr:uid="{D4200F6F-79F8-42A8-BBDF-8DAB03A8B115}"/>
    <hyperlink ref="B30" location="'Einkommens &amp; Vermögensbilanz'!A1" display="zurück" xr:uid="{915F2728-4EA1-4C66-8439-FFFF064D1176}"/>
    <hyperlink ref="F31" location="'Max Volumen'!A1" display="weiter" xr:uid="{34935487-72EE-47C5-815D-8CA166B900C2}"/>
  </hyperlinks>
  <pageMargins left="0.70866141732283472" right="0.70866141732283472" top="0.78740157480314965" bottom="0.78740157480314965" header="0.31496062992125984" footer="0.31496062992125984"/>
  <pageSetup paperSize="9" scale="5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45C89-8665-49B1-8EF5-D8EC1ACFD5C4}">
  <sheetPr codeName="Tabelle7">
    <tabColor rgb="FF92D050"/>
    <pageSetUpPr fitToPage="1"/>
  </sheetPr>
  <dimension ref="A1:U49"/>
  <sheetViews>
    <sheetView showGridLines="0" showRowColHeaders="0" zoomScaleNormal="100" workbookViewId="0">
      <selection activeCell="D25" sqref="D25"/>
    </sheetView>
  </sheetViews>
  <sheetFormatPr baseColWidth="10" defaultColWidth="10.7265625" defaultRowHeight="14.5"/>
  <cols>
    <col min="1" max="1" width="4.1796875" customWidth="1"/>
    <col min="2" max="2" width="69.26953125" bestFit="1" customWidth="1"/>
    <col min="3" max="3" width="19" customWidth="1"/>
    <col min="4" max="4" width="18" customWidth="1"/>
    <col min="5" max="5" width="7.453125" style="14" bestFit="1" customWidth="1"/>
    <col min="6" max="6" width="8.26953125" style="14" customWidth="1"/>
    <col min="7" max="8" width="11.453125" style="14"/>
  </cols>
  <sheetData>
    <row r="1" spans="1:21">
      <c r="A1" s="99"/>
      <c r="B1" s="99"/>
      <c r="C1" s="99"/>
      <c r="D1" s="99"/>
      <c r="E1" s="160"/>
      <c r="F1" s="160"/>
      <c r="G1" s="160"/>
      <c r="H1" s="160"/>
      <c r="I1" s="126"/>
      <c r="J1" s="126"/>
      <c r="K1" s="126"/>
      <c r="L1" s="126"/>
      <c r="M1" s="126"/>
      <c r="N1" s="126"/>
      <c r="O1" s="126"/>
      <c r="P1" s="126"/>
      <c r="Q1" s="99"/>
      <c r="R1" s="99"/>
      <c r="S1" s="99"/>
      <c r="T1" s="99"/>
      <c r="U1" s="99"/>
    </row>
    <row r="2" spans="1:21" ht="15.5">
      <c r="A2" s="99"/>
      <c r="B2" s="161" t="s">
        <v>223</v>
      </c>
      <c r="C2" s="99"/>
      <c r="D2" s="99"/>
      <c r="E2" s="160"/>
      <c r="F2" s="160"/>
      <c r="G2" s="160"/>
      <c r="H2" s="160"/>
      <c r="I2" s="126"/>
      <c r="J2" s="126"/>
      <c r="K2" s="126"/>
      <c r="L2" s="126"/>
      <c r="M2" s="126"/>
      <c r="N2" s="126"/>
      <c r="O2" s="126"/>
      <c r="P2" s="126"/>
      <c r="Q2" s="99"/>
      <c r="R2" s="99"/>
      <c r="S2" s="99"/>
      <c r="T2" s="99"/>
      <c r="U2" s="99"/>
    </row>
    <row r="3" spans="1:21">
      <c r="A3" s="99"/>
      <c r="B3" s="99"/>
      <c r="C3" s="116"/>
      <c r="D3" s="116"/>
      <c r="E3" s="160"/>
      <c r="F3" s="160"/>
      <c r="G3" s="160"/>
      <c r="H3" s="160"/>
      <c r="I3" s="126"/>
      <c r="J3" s="126"/>
      <c r="K3" s="126"/>
      <c r="L3" s="126"/>
      <c r="M3" s="126"/>
      <c r="N3" s="126"/>
      <c r="O3" s="126"/>
      <c r="P3" s="126"/>
      <c r="Q3" s="99"/>
      <c r="R3" s="99"/>
      <c r="S3" s="99"/>
      <c r="T3" s="99"/>
      <c r="U3" s="99"/>
    </row>
    <row r="4" spans="1:21">
      <c r="A4" s="99"/>
      <c r="B4" s="574" t="s">
        <v>224</v>
      </c>
      <c r="C4" s="574"/>
      <c r="D4" s="574"/>
      <c r="E4" s="160"/>
      <c r="F4" s="160"/>
      <c r="G4" s="160"/>
      <c r="H4" s="160"/>
      <c r="I4" s="126"/>
      <c r="J4" s="126"/>
      <c r="K4" s="126"/>
      <c r="L4" s="126"/>
      <c r="M4" s="126"/>
      <c r="N4" s="126"/>
      <c r="O4" s="126"/>
      <c r="P4" s="126"/>
      <c r="Q4" s="126"/>
      <c r="R4" s="126"/>
      <c r="S4" s="126"/>
      <c r="T4" s="99"/>
      <c r="U4" s="99"/>
    </row>
    <row r="5" spans="1:21" ht="15" thickBot="1">
      <c r="A5" s="99"/>
      <c r="B5" s="162"/>
      <c r="C5" s="162"/>
      <c r="D5" s="162"/>
      <c r="E5" s="160"/>
      <c r="F5" s="160"/>
      <c r="G5" s="160"/>
      <c r="H5" s="160"/>
      <c r="I5" s="126"/>
      <c r="J5" s="126"/>
      <c r="K5" s="126"/>
      <c r="L5" s="126"/>
      <c r="M5" s="126"/>
      <c r="N5" s="126"/>
      <c r="O5" s="126"/>
      <c r="P5" s="126"/>
      <c r="Q5" s="126"/>
      <c r="R5" s="126"/>
      <c r="S5" s="126"/>
      <c r="T5" s="99"/>
      <c r="U5" s="99"/>
    </row>
    <row r="6" spans="1:21" ht="15.5">
      <c r="A6" s="99"/>
      <c r="B6" s="137" t="s">
        <v>206</v>
      </c>
      <c r="C6" s="163">
        <f>'Einkommens &amp; Vermögensbilanz'!C5</f>
        <v>0</v>
      </c>
      <c r="D6" s="148"/>
      <c r="E6" s="257"/>
      <c r="F6" s="160"/>
      <c r="G6" s="160"/>
      <c r="H6" s="160"/>
      <c r="I6" s="126"/>
      <c r="J6" s="126"/>
      <c r="K6" s="126"/>
      <c r="L6" s="126"/>
      <c r="M6" s="126"/>
      <c r="N6" s="126"/>
      <c r="O6" s="126"/>
      <c r="P6" s="126"/>
      <c r="Q6" s="126"/>
      <c r="R6" s="126"/>
      <c r="S6" s="126"/>
      <c r="T6" s="99"/>
      <c r="U6" s="99"/>
    </row>
    <row r="7" spans="1:21" ht="15.5">
      <c r="A7" s="99"/>
      <c r="B7" s="144" t="s">
        <v>324</v>
      </c>
      <c r="C7" s="164">
        <f>'Eingabe Immodaten'!D11</f>
        <v>950</v>
      </c>
      <c r="D7" s="149"/>
      <c r="E7" s="257"/>
      <c r="F7" s="160"/>
      <c r="G7" s="160"/>
      <c r="H7" s="160"/>
      <c r="I7" s="126"/>
      <c r="J7" s="126"/>
      <c r="K7" s="126"/>
      <c r="L7" s="126"/>
      <c r="M7" s="126"/>
      <c r="N7" s="126"/>
      <c r="O7" s="126"/>
      <c r="P7" s="126"/>
      <c r="Q7" s="126"/>
      <c r="R7" s="126"/>
      <c r="S7" s="126"/>
      <c r="T7" s="99"/>
      <c r="U7" s="99"/>
    </row>
    <row r="8" spans="1:21" ht="16" thickBot="1">
      <c r="A8" s="99"/>
      <c r="B8" s="165" t="s">
        <v>207</v>
      </c>
      <c r="C8" s="166"/>
      <c r="D8" s="167">
        <f>C6+(C7*0.8)</f>
        <v>760</v>
      </c>
      <c r="E8" s="257"/>
      <c r="F8" s="160"/>
      <c r="G8" s="160"/>
      <c r="H8" s="160"/>
      <c r="I8" s="126"/>
      <c r="J8" s="126"/>
      <c r="K8" s="126"/>
      <c r="L8" s="126"/>
      <c r="M8" s="126"/>
      <c r="N8" s="126"/>
      <c r="O8" s="126"/>
      <c r="P8" s="126"/>
      <c r="Q8" s="126"/>
      <c r="R8" s="126"/>
      <c r="S8" s="126"/>
      <c r="T8" s="99"/>
      <c r="U8" s="99"/>
    </row>
    <row r="9" spans="1:21" ht="16" thickBot="1">
      <c r="A9" s="99"/>
      <c r="B9" s="124"/>
      <c r="C9" s="124"/>
      <c r="D9" s="124"/>
      <c r="E9" s="257"/>
      <c r="F9" s="160"/>
      <c r="G9" s="160"/>
      <c r="H9" s="160"/>
      <c r="I9" s="126"/>
      <c r="J9" s="126"/>
      <c r="K9" s="126"/>
      <c r="L9" s="126"/>
      <c r="M9" s="126"/>
      <c r="N9" s="126"/>
      <c r="O9" s="126"/>
      <c r="P9" s="126"/>
      <c r="Q9" s="126"/>
      <c r="R9" s="126"/>
      <c r="S9" s="126"/>
      <c r="T9" s="99"/>
      <c r="U9" s="99"/>
    </row>
    <row r="10" spans="1:21" ht="16" thickBot="1">
      <c r="A10" s="99"/>
      <c r="B10" s="168" t="s">
        <v>77</v>
      </c>
      <c r="C10" s="75"/>
      <c r="D10" s="169">
        <f>'Eingabe Käuferdaten'!C12+'Eingabe Käuferdaten'!D12+'Eingabe Käuferdaten'!C13+'Eingabe Käuferdaten'!D13+'Eingabe Käuferdaten'!C14+'Eingabe Käuferdaten'!D14+'Eingabe Käuferdaten'!C16+'Eingabe Käuferdaten'!D16+'Eingabe Käuferdaten'!C15+'Eingabe Käuferdaten'!D15</f>
        <v>0</v>
      </c>
      <c r="E10" s="257"/>
      <c r="F10" s="160"/>
      <c r="G10" s="160"/>
      <c r="H10" s="160"/>
      <c r="I10" s="126"/>
      <c r="J10" s="126"/>
      <c r="K10" s="126"/>
      <c r="L10" s="126"/>
      <c r="M10" s="126"/>
      <c r="N10" s="126"/>
      <c r="O10" s="126"/>
      <c r="P10" s="126"/>
      <c r="Q10" s="126"/>
      <c r="R10" s="126"/>
      <c r="S10" s="126"/>
      <c r="T10" s="99"/>
      <c r="U10" s="99"/>
    </row>
    <row r="11" spans="1:21" ht="16" thickBot="1">
      <c r="A11" s="99"/>
      <c r="B11" s="124"/>
      <c r="C11" s="124"/>
      <c r="D11" s="124"/>
      <c r="E11" s="257"/>
      <c r="F11" s="160"/>
      <c r="G11" s="160"/>
      <c r="H11" s="160"/>
      <c r="I11" s="126"/>
      <c r="J11" s="126"/>
      <c r="K11" s="126"/>
      <c r="L11" s="126"/>
      <c r="M11" s="126"/>
      <c r="N11" s="126"/>
      <c r="O11" s="126"/>
      <c r="P11" s="126"/>
      <c r="Q11" s="126"/>
      <c r="R11" s="126"/>
      <c r="S11" s="126"/>
      <c r="T11" s="99"/>
      <c r="U11" s="99"/>
    </row>
    <row r="12" spans="1:21" ht="15.5">
      <c r="A12" s="99"/>
      <c r="B12" s="137" t="s">
        <v>208</v>
      </c>
      <c r="C12" s="170">
        <f>'Eingabe Käuferdaten'!C48</f>
        <v>1</v>
      </c>
      <c r="D12" s="148"/>
      <c r="E12" s="266" t="s">
        <v>209</v>
      </c>
      <c r="F12" s="267">
        <f>VLOOKUP(C14,Einstellungen!G2:H4,2,FALSE)</f>
        <v>0</v>
      </c>
      <c r="G12" s="267"/>
      <c r="H12" s="267"/>
      <c r="I12" s="94"/>
      <c r="J12" s="94"/>
      <c r="K12" s="94"/>
      <c r="L12" s="94"/>
      <c r="M12" s="94"/>
      <c r="N12" s="94"/>
      <c r="O12" s="94"/>
      <c r="P12" s="94"/>
      <c r="Q12" s="126"/>
      <c r="R12" s="126"/>
      <c r="S12" s="126"/>
      <c r="T12" s="99"/>
      <c r="U12" s="99"/>
    </row>
    <row r="13" spans="1:21" ht="15.5">
      <c r="A13" s="99"/>
      <c r="B13" s="144" t="s">
        <v>210</v>
      </c>
      <c r="C13" s="124">
        <f>'Eingabe Käuferdaten'!C49</f>
        <v>0</v>
      </c>
      <c r="D13" s="149"/>
      <c r="E13" s="266" t="s">
        <v>209</v>
      </c>
      <c r="F13" s="267">
        <f>VLOOKUP(C12,Einstellungen!A2:B3,2,FALSE)</f>
        <v>1450</v>
      </c>
      <c r="G13" s="267"/>
      <c r="H13" s="267"/>
      <c r="I13" s="94"/>
      <c r="J13" s="94"/>
      <c r="K13" s="94"/>
      <c r="L13" s="94"/>
      <c r="M13" s="94"/>
      <c r="N13" s="94"/>
      <c r="O13" s="94"/>
      <c r="P13" s="94"/>
      <c r="Q13" s="126"/>
      <c r="R13" s="126"/>
      <c r="S13" s="126"/>
      <c r="T13" s="99"/>
      <c r="U13" s="99"/>
    </row>
    <row r="14" spans="1:21" ht="15.5">
      <c r="A14" s="99"/>
      <c r="B14" s="144" t="s">
        <v>238</v>
      </c>
      <c r="C14" s="124">
        <f>'Eingabe Käuferdaten'!C50</f>
        <v>0</v>
      </c>
      <c r="D14" s="149"/>
      <c r="E14" s="266" t="s">
        <v>209</v>
      </c>
      <c r="F14" s="267">
        <f>VLOOKUP(C13,Einstellungen!D2:E7,2,FALSE)</f>
        <v>0</v>
      </c>
      <c r="G14" s="267"/>
      <c r="H14" s="267"/>
      <c r="I14" s="94"/>
      <c r="J14" s="94"/>
      <c r="K14" s="94"/>
      <c r="L14" s="94"/>
      <c r="M14" s="94"/>
      <c r="N14" s="94"/>
      <c r="O14" s="94"/>
      <c r="P14" s="94"/>
      <c r="Q14" s="126"/>
      <c r="R14" s="126"/>
      <c r="S14" s="126"/>
      <c r="T14" s="99"/>
      <c r="U14" s="99"/>
    </row>
    <row r="15" spans="1:21" ht="16" thickBot="1">
      <c r="A15" s="99"/>
      <c r="B15" s="165" t="s">
        <v>214</v>
      </c>
      <c r="C15" s="166"/>
      <c r="D15" s="171">
        <f>F12+F13+F14</f>
        <v>1450</v>
      </c>
      <c r="E15" s="96"/>
      <c r="F15" s="267"/>
      <c r="G15" s="267"/>
      <c r="H15" s="267"/>
      <c r="I15" s="94"/>
      <c r="J15" s="94"/>
      <c r="K15" s="94"/>
      <c r="L15" s="94"/>
      <c r="M15" s="94"/>
      <c r="N15" s="94"/>
      <c r="O15" s="94"/>
      <c r="P15" s="94"/>
      <c r="Q15" s="126"/>
      <c r="R15" s="126"/>
      <c r="S15" s="126"/>
      <c r="T15" s="99"/>
      <c r="U15" s="99"/>
    </row>
    <row r="16" spans="1:21" ht="16" thickBot="1">
      <c r="A16" s="99"/>
      <c r="B16" s="124"/>
      <c r="C16" s="124"/>
      <c r="D16" s="124"/>
      <c r="E16" s="96"/>
      <c r="F16" s="267"/>
      <c r="G16" s="267"/>
      <c r="H16" s="267"/>
      <c r="I16" s="94"/>
      <c r="J16" s="94"/>
      <c r="K16" s="94"/>
      <c r="L16" s="94"/>
      <c r="M16" s="94"/>
      <c r="N16" s="94"/>
      <c r="O16" s="94"/>
      <c r="P16" s="94"/>
      <c r="Q16" s="126"/>
      <c r="R16" s="126"/>
      <c r="S16" s="126"/>
      <c r="T16" s="99"/>
      <c r="U16" s="99"/>
    </row>
    <row r="17" spans="1:21" ht="16" thickBot="1">
      <c r="A17" s="99"/>
      <c r="B17" s="120" t="s">
        <v>211</v>
      </c>
      <c r="C17" s="75">
        <f>'Einkommens &amp; Vermögensbilanz'!E18</f>
        <v>0</v>
      </c>
      <c r="D17" s="172"/>
      <c r="E17" s="96"/>
      <c r="F17" s="267"/>
      <c r="G17" s="267"/>
      <c r="H17" s="267"/>
      <c r="I17" s="94"/>
      <c r="J17" s="94"/>
      <c r="K17" s="94"/>
      <c r="L17" s="94"/>
      <c r="M17" s="94"/>
      <c r="N17" s="94"/>
      <c r="O17" s="94"/>
      <c r="P17" s="94"/>
      <c r="Q17" s="126"/>
      <c r="R17" s="126"/>
      <c r="S17" s="126"/>
      <c r="T17" s="99"/>
      <c r="U17" s="99"/>
    </row>
    <row r="18" spans="1:21" ht="16" thickBot="1">
      <c r="A18" s="99"/>
      <c r="B18" s="124"/>
      <c r="C18" s="124"/>
      <c r="D18" s="124"/>
      <c r="E18" s="96"/>
      <c r="F18" s="267"/>
      <c r="G18" s="267"/>
      <c r="H18" s="267"/>
      <c r="I18" s="94"/>
      <c r="J18" s="94"/>
      <c r="K18" s="94"/>
      <c r="L18" s="94"/>
      <c r="M18" s="94"/>
      <c r="N18" s="94"/>
      <c r="O18" s="94"/>
      <c r="P18" s="94"/>
      <c r="Q18" s="126"/>
      <c r="R18" s="126"/>
      <c r="S18" s="126"/>
      <c r="T18" s="99"/>
      <c r="U18" s="99"/>
    </row>
    <row r="19" spans="1:21" ht="16" thickBot="1">
      <c r="A19" s="99"/>
      <c r="B19" s="173" t="str">
        <f>IF(D19&lt;0,"Unterdeckung!","Überschuss monatlich")</f>
        <v>Unterdeckung!</v>
      </c>
      <c r="C19" s="174"/>
      <c r="D19" s="175">
        <f>D8-D10-D15</f>
        <v>-690</v>
      </c>
      <c r="E19" s="96"/>
      <c r="F19" s="267"/>
      <c r="G19" s="267"/>
      <c r="H19" s="267"/>
      <c r="I19" s="94"/>
      <c r="J19" s="94"/>
      <c r="K19" s="94"/>
      <c r="L19" s="94"/>
      <c r="M19" s="94"/>
      <c r="N19" s="94"/>
      <c r="O19" s="94"/>
      <c r="P19" s="94"/>
      <c r="Q19" s="126"/>
      <c r="R19" s="126"/>
      <c r="S19" s="126"/>
      <c r="T19" s="99"/>
      <c r="U19" s="99"/>
    </row>
    <row r="20" spans="1:21" ht="16" thickBot="1">
      <c r="A20" s="99"/>
      <c r="B20" s="256"/>
      <c r="C20" s="255"/>
      <c r="D20" s="176"/>
      <c r="E20" s="96"/>
      <c r="F20" s="267"/>
      <c r="G20" s="267"/>
      <c r="H20" s="267"/>
      <c r="I20" s="94"/>
      <c r="J20" s="94"/>
      <c r="K20" s="94"/>
      <c r="L20" s="94"/>
      <c r="M20" s="94"/>
      <c r="N20" s="94"/>
      <c r="O20" s="94"/>
      <c r="P20" s="94"/>
      <c r="Q20" s="126"/>
      <c r="R20" s="126"/>
      <c r="S20" s="126"/>
      <c r="T20" s="99"/>
      <c r="U20" s="99"/>
    </row>
    <row r="21" spans="1:21" ht="16" thickBot="1">
      <c r="A21" s="99"/>
      <c r="B21" s="177" t="s">
        <v>344</v>
      </c>
      <c r="C21" s="178" t="str">
        <f>'Eingabe Käuferdaten'!C53</f>
        <v>31-35</v>
      </c>
      <c r="D21" s="179"/>
      <c r="E21" s="96" t="s">
        <v>53</v>
      </c>
      <c r="F21" s="267">
        <f>VLOOKUP(C21,Einstellungen!J2:K8,2,FALSE)</f>
        <v>2.5</v>
      </c>
      <c r="G21" s="267"/>
      <c r="H21" s="267"/>
      <c r="I21" s="94"/>
      <c r="J21" s="94"/>
      <c r="K21" s="94"/>
      <c r="L21" s="94"/>
      <c r="M21" s="94"/>
      <c r="N21" s="94"/>
      <c r="O21" s="94"/>
      <c r="P21" s="94"/>
      <c r="Q21" s="126"/>
      <c r="R21" s="126"/>
      <c r="S21" s="126"/>
      <c r="T21" s="99"/>
      <c r="U21" s="99"/>
    </row>
    <row r="22" spans="1:21" ht="16" thickBot="1">
      <c r="A22" s="99"/>
      <c r="B22" s="124"/>
      <c r="C22" s="124"/>
      <c r="D22" s="124"/>
      <c r="E22" s="96"/>
      <c r="F22" s="267"/>
      <c r="G22" s="267"/>
      <c r="H22" s="267"/>
      <c r="I22" s="94"/>
      <c r="J22" s="94"/>
      <c r="K22" s="94"/>
      <c r="L22" s="94"/>
      <c r="M22" s="94"/>
      <c r="N22" s="94"/>
      <c r="O22" s="94"/>
      <c r="P22" s="94"/>
      <c r="Q22" s="126"/>
      <c r="R22" s="126"/>
      <c r="S22" s="126"/>
      <c r="T22" s="99"/>
      <c r="U22" s="99"/>
    </row>
    <row r="23" spans="1:21" ht="16" thickBot="1">
      <c r="A23" s="99"/>
      <c r="B23" s="76" t="str">
        <f>IF(C23&lt;50000,"Es ist leider keine Finanzierung möglich!","Höhe Ihrer maximalen Investition")</f>
        <v>Es ist leider keine Finanzierung möglich!</v>
      </c>
      <c r="C23" s="77">
        <f>(D19*12)/('Eingabe Käuferdaten'!C42+F21)%+C17</f>
        <v>-127384.61538461538</v>
      </c>
      <c r="D23" s="78"/>
      <c r="E23" s="257"/>
      <c r="F23" s="160"/>
      <c r="G23" s="160"/>
      <c r="H23" s="160"/>
      <c r="I23" s="126"/>
      <c r="J23" s="126"/>
      <c r="K23" s="126"/>
      <c r="L23" s="126"/>
      <c r="M23" s="126"/>
      <c r="N23" s="126"/>
      <c r="O23" s="126"/>
      <c r="P23" s="126"/>
      <c r="Q23" s="126"/>
      <c r="R23" s="126"/>
      <c r="S23" s="126"/>
      <c r="T23" s="99"/>
      <c r="U23" s="99"/>
    </row>
    <row r="24" spans="1:21">
      <c r="A24" s="99"/>
      <c r="B24" s="99"/>
      <c r="C24" s="99"/>
      <c r="D24" s="99"/>
      <c r="E24" s="160"/>
      <c r="F24" s="160"/>
      <c r="G24" s="160"/>
      <c r="H24" s="160"/>
      <c r="I24" s="126"/>
      <c r="J24" s="126"/>
      <c r="K24" s="126"/>
      <c r="L24" s="126"/>
      <c r="M24" s="126"/>
      <c r="N24" s="126"/>
      <c r="O24" s="126"/>
      <c r="P24" s="126"/>
      <c r="Q24" s="126"/>
      <c r="R24" s="126"/>
      <c r="S24" s="126"/>
      <c r="T24" s="99"/>
      <c r="U24" s="99"/>
    </row>
    <row r="25" spans="1:21">
      <c r="A25" s="99"/>
      <c r="B25" s="111" t="s">
        <v>222</v>
      </c>
      <c r="C25" s="131" t="s">
        <v>226</v>
      </c>
      <c r="D25" s="125" t="s">
        <v>221</v>
      </c>
      <c r="E25" s="160"/>
      <c r="F25" s="160"/>
      <c r="G25" s="160"/>
      <c r="H25" s="160"/>
      <c r="I25" s="126"/>
      <c r="J25" s="126"/>
      <c r="K25" s="126"/>
      <c r="L25" s="126"/>
      <c r="M25" s="126"/>
      <c r="N25" s="126"/>
      <c r="O25" s="126"/>
      <c r="P25" s="126"/>
      <c r="Q25" s="126"/>
      <c r="R25" s="126"/>
      <c r="S25" s="126"/>
      <c r="T25" s="99"/>
      <c r="U25" s="99"/>
    </row>
    <row r="26" spans="1:21">
      <c r="A26" s="99"/>
      <c r="B26" s="99"/>
      <c r="C26" s="99"/>
      <c r="D26" s="125"/>
      <c r="E26" s="160"/>
      <c r="F26" s="160"/>
      <c r="G26" s="160"/>
      <c r="H26" s="160"/>
      <c r="I26" s="126"/>
      <c r="J26" s="126"/>
      <c r="K26" s="126"/>
      <c r="L26" s="126"/>
      <c r="M26" s="126"/>
      <c r="N26" s="126"/>
      <c r="O26" s="126"/>
      <c r="P26" s="126"/>
      <c r="Q26" s="126"/>
      <c r="R26" s="126"/>
      <c r="S26" s="126"/>
      <c r="T26" s="99"/>
      <c r="U26" s="99"/>
    </row>
    <row r="27" spans="1:21">
      <c r="A27" s="99"/>
      <c r="B27" s="99"/>
      <c r="C27" s="99"/>
      <c r="D27" s="99"/>
      <c r="E27" s="160"/>
      <c r="F27" s="160"/>
      <c r="G27" s="160"/>
      <c r="H27" s="160"/>
      <c r="I27" s="126"/>
      <c r="J27" s="126"/>
      <c r="K27" s="126"/>
      <c r="L27" s="126"/>
      <c r="M27" s="126"/>
      <c r="N27" s="126"/>
      <c r="O27" s="126"/>
      <c r="P27" s="126"/>
      <c r="Q27" s="126"/>
      <c r="R27" s="126"/>
      <c r="S27" s="126"/>
      <c r="T27" s="99"/>
      <c r="U27" s="99"/>
    </row>
    <row r="28" spans="1:21">
      <c r="A28" s="99"/>
      <c r="B28" s="99"/>
      <c r="C28" s="99"/>
      <c r="D28" s="99"/>
      <c r="E28" s="160"/>
      <c r="F28" s="160"/>
      <c r="G28" s="160"/>
      <c r="H28" s="160"/>
      <c r="I28" s="126"/>
      <c r="J28" s="126"/>
      <c r="K28" s="126"/>
      <c r="L28" s="126"/>
      <c r="M28" s="126"/>
      <c r="N28" s="126"/>
      <c r="O28" s="126"/>
      <c r="P28" s="126"/>
      <c r="Q28" s="126"/>
      <c r="R28" s="126"/>
      <c r="S28" s="126"/>
      <c r="T28" s="99"/>
      <c r="U28" s="99"/>
    </row>
    <row r="29" spans="1:21">
      <c r="A29" s="99"/>
      <c r="B29" s="99"/>
      <c r="C29" s="99"/>
      <c r="D29" s="99"/>
      <c r="E29" s="160"/>
      <c r="F29" s="160"/>
      <c r="G29" s="160"/>
      <c r="H29" s="160"/>
      <c r="I29" s="126"/>
      <c r="J29" s="126"/>
      <c r="K29" s="126"/>
      <c r="L29" s="126"/>
      <c r="M29" s="126"/>
      <c r="N29" s="126"/>
      <c r="O29" s="126"/>
      <c r="P29" s="126"/>
      <c r="Q29" s="126"/>
      <c r="R29" s="126"/>
      <c r="S29" s="126"/>
      <c r="T29" s="99"/>
      <c r="U29" s="99"/>
    </row>
    <row r="30" spans="1:21">
      <c r="A30" s="99"/>
      <c r="B30" s="99"/>
      <c r="C30" s="99"/>
      <c r="D30" s="99"/>
      <c r="E30" s="160"/>
      <c r="F30" s="160"/>
      <c r="G30" s="160"/>
      <c r="H30" s="160"/>
      <c r="I30" s="126"/>
      <c r="J30" s="126"/>
      <c r="K30" s="126"/>
      <c r="L30" s="126"/>
      <c r="M30" s="126"/>
      <c r="N30" s="126"/>
      <c r="O30" s="126"/>
      <c r="P30" s="126"/>
      <c r="Q30" s="126"/>
      <c r="R30" s="126"/>
      <c r="S30" s="126"/>
      <c r="T30" s="99"/>
      <c r="U30" s="99"/>
    </row>
    <row r="31" spans="1:21">
      <c r="A31" s="99"/>
      <c r="B31" s="99"/>
      <c r="C31" s="99"/>
      <c r="D31" s="99"/>
      <c r="E31" s="160"/>
      <c r="F31" s="160"/>
      <c r="G31" s="160"/>
      <c r="H31" s="160"/>
      <c r="I31" s="126"/>
      <c r="J31" s="126"/>
      <c r="K31" s="126"/>
      <c r="L31" s="126"/>
      <c r="M31" s="126"/>
      <c r="N31" s="126"/>
      <c r="O31" s="126"/>
      <c r="P31" s="126"/>
      <c r="Q31" s="126"/>
      <c r="R31" s="126"/>
      <c r="S31" s="126"/>
      <c r="T31" s="99"/>
      <c r="U31" s="99"/>
    </row>
    <row r="32" spans="1:21">
      <c r="A32" s="99"/>
      <c r="B32" s="99"/>
      <c r="C32" s="99"/>
      <c r="D32" s="99"/>
      <c r="E32" s="160"/>
      <c r="F32" s="160"/>
      <c r="G32" s="160"/>
      <c r="H32" s="160"/>
      <c r="I32" s="126"/>
      <c r="J32" s="126"/>
      <c r="K32" s="126"/>
      <c r="L32" s="126"/>
      <c r="M32" s="126"/>
      <c r="N32" s="126"/>
      <c r="O32" s="126"/>
      <c r="P32" s="126"/>
      <c r="Q32" s="126"/>
      <c r="R32" s="126"/>
      <c r="S32" s="126"/>
      <c r="T32" s="99"/>
      <c r="U32" s="99"/>
    </row>
    <row r="33" spans="1:21">
      <c r="A33" s="99"/>
      <c r="B33" s="99"/>
      <c r="C33" s="99"/>
      <c r="D33" s="99"/>
      <c r="E33" s="160"/>
      <c r="F33" s="160"/>
      <c r="G33" s="160"/>
      <c r="H33" s="160"/>
      <c r="I33" s="126"/>
      <c r="J33" s="126"/>
      <c r="K33" s="126"/>
      <c r="L33" s="126"/>
      <c r="M33" s="126"/>
      <c r="N33" s="126"/>
      <c r="O33" s="126"/>
      <c r="P33" s="126"/>
      <c r="Q33" s="126"/>
      <c r="R33" s="126"/>
      <c r="S33" s="126"/>
      <c r="T33" s="99"/>
      <c r="U33" s="99"/>
    </row>
    <row r="34" spans="1:21">
      <c r="A34" s="99"/>
      <c r="B34" s="99"/>
      <c r="C34" s="99"/>
      <c r="D34" s="99"/>
      <c r="E34" s="160"/>
      <c r="F34" s="160"/>
      <c r="G34" s="160"/>
      <c r="H34" s="160"/>
      <c r="I34" s="126"/>
      <c r="J34" s="126"/>
      <c r="K34" s="126"/>
      <c r="L34" s="126"/>
      <c r="M34" s="126"/>
      <c r="N34" s="126"/>
      <c r="O34" s="126"/>
      <c r="P34" s="126"/>
      <c r="Q34" s="126"/>
      <c r="R34" s="126"/>
      <c r="S34" s="126"/>
      <c r="T34" s="99"/>
      <c r="U34" s="99"/>
    </row>
    <row r="35" spans="1:21">
      <c r="A35" s="99"/>
      <c r="B35" s="99"/>
      <c r="C35" s="99"/>
      <c r="D35" s="99"/>
      <c r="E35" s="160"/>
      <c r="F35" s="160"/>
      <c r="G35" s="160"/>
      <c r="H35" s="160"/>
      <c r="I35" s="126"/>
      <c r="J35" s="126"/>
      <c r="K35" s="126"/>
      <c r="L35" s="126"/>
      <c r="M35" s="126"/>
      <c r="N35" s="126"/>
      <c r="O35" s="126"/>
      <c r="P35" s="126"/>
      <c r="Q35" s="126"/>
      <c r="R35" s="126"/>
      <c r="S35" s="126"/>
      <c r="T35" s="99"/>
      <c r="U35" s="99"/>
    </row>
    <row r="36" spans="1:21">
      <c r="A36" s="99"/>
      <c r="B36" s="99"/>
      <c r="C36" s="99"/>
      <c r="D36" s="99"/>
      <c r="E36" s="160"/>
      <c r="F36" s="160"/>
      <c r="G36" s="160"/>
      <c r="H36" s="160"/>
      <c r="I36" s="99"/>
      <c r="J36" s="99"/>
      <c r="K36" s="99"/>
      <c r="L36" s="99"/>
      <c r="M36" s="99"/>
      <c r="N36" s="99"/>
      <c r="O36" s="99"/>
      <c r="P36" s="99"/>
      <c r="Q36" s="99"/>
      <c r="R36" s="99"/>
      <c r="S36" s="99"/>
      <c r="T36" s="99"/>
      <c r="U36" s="99"/>
    </row>
    <row r="37" spans="1:21">
      <c r="A37" s="99"/>
      <c r="B37" s="99"/>
      <c r="C37" s="99"/>
      <c r="D37" s="99"/>
      <c r="E37" s="160"/>
      <c r="F37" s="160"/>
      <c r="G37" s="160"/>
      <c r="H37" s="160"/>
      <c r="I37" s="99"/>
      <c r="J37" s="99"/>
      <c r="K37" s="99"/>
      <c r="L37" s="99"/>
      <c r="M37" s="99"/>
      <c r="N37" s="99"/>
      <c r="O37" s="99"/>
      <c r="P37" s="99"/>
      <c r="Q37" s="99"/>
      <c r="R37" s="99"/>
      <c r="S37" s="99"/>
      <c r="T37" s="99"/>
      <c r="U37" s="99"/>
    </row>
    <row r="38" spans="1:21">
      <c r="A38" s="99"/>
      <c r="B38" s="99"/>
      <c r="C38" s="99"/>
      <c r="D38" s="99"/>
      <c r="E38" s="160"/>
      <c r="F38" s="160"/>
      <c r="G38" s="160"/>
      <c r="H38" s="160"/>
      <c r="I38" s="99"/>
      <c r="J38" s="99"/>
      <c r="K38" s="99"/>
      <c r="L38" s="99"/>
      <c r="M38" s="99"/>
      <c r="N38" s="99"/>
      <c r="O38" s="99"/>
      <c r="P38" s="99"/>
      <c r="Q38" s="99"/>
      <c r="R38" s="99"/>
      <c r="S38" s="99"/>
      <c r="T38" s="99"/>
      <c r="U38" s="99"/>
    </row>
    <row r="39" spans="1:21">
      <c r="A39" s="99"/>
      <c r="B39" s="99"/>
      <c r="C39" s="99"/>
      <c r="D39" s="99"/>
      <c r="E39" s="160"/>
      <c r="F39" s="160"/>
      <c r="G39" s="160"/>
      <c r="H39" s="160"/>
      <c r="I39" s="99"/>
      <c r="J39" s="99"/>
      <c r="K39" s="99"/>
      <c r="L39" s="99"/>
      <c r="M39" s="99"/>
      <c r="N39" s="99"/>
      <c r="O39" s="99"/>
      <c r="P39" s="99"/>
      <c r="Q39" s="99"/>
      <c r="R39" s="99"/>
      <c r="S39" s="99"/>
      <c r="T39" s="99"/>
      <c r="U39" s="99"/>
    </row>
    <row r="40" spans="1:21">
      <c r="A40" s="99"/>
      <c r="B40" s="99"/>
      <c r="C40" s="99"/>
      <c r="D40" s="99"/>
      <c r="E40" s="160"/>
      <c r="F40" s="160"/>
      <c r="G40" s="160"/>
      <c r="H40" s="160"/>
      <c r="I40" s="99"/>
      <c r="J40" s="99"/>
      <c r="K40" s="99"/>
      <c r="L40" s="99"/>
      <c r="M40" s="99"/>
      <c r="N40" s="99"/>
      <c r="O40" s="99"/>
      <c r="P40" s="99"/>
      <c r="Q40" s="99"/>
      <c r="R40" s="99"/>
      <c r="S40" s="99"/>
      <c r="T40" s="99"/>
      <c r="U40" s="99"/>
    </row>
    <row r="41" spans="1:21">
      <c r="A41" s="99"/>
      <c r="B41" s="99"/>
      <c r="C41" s="99"/>
      <c r="D41" s="99"/>
      <c r="E41" s="160"/>
      <c r="F41" s="160"/>
      <c r="G41" s="160"/>
      <c r="H41" s="160"/>
      <c r="I41" s="99"/>
      <c r="J41" s="99"/>
      <c r="K41" s="99"/>
      <c r="L41" s="99"/>
      <c r="M41" s="99"/>
      <c r="N41" s="99"/>
      <c r="O41" s="99"/>
      <c r="P41" s="99"/>
      <c r="Q41" s="99"/>
      <c r="R41" s="99"/>
      <c r="S41" s="99"/>
      <c r="T41" s="99"/>
      <c r="U41" s="99"/>
    </row>
    <row r="42" spans="1:21">
      <c r="A42" s="99"/>
      <c r="B42" s="99"/>
      <c r="C42" s="99"/>
      <c r="D42" s="99"/>
      <c r="E42" s="160"/>
      <c r="F42" s="160"/>
      <c r="G42" s="160"/>
      <c r="H42" s="160"/>
      <c r="I42" s="99"/>
      <c r="J42" s="99"/>
      <c r="K42" s="99"/>
      <c r="L42" s="99"/>
      <c r="M42" s="99"/>
      <c r="N42" s="99"/>
      <c r="O42" s="99"/>
      <c r="P42" s="99"/>
      <c r="Q42" s="99"/>
      <c r="R42" s="99"/>
      <c r="S42" s="99"/>
      <c r="T42" s="99"/>
      <c r="U42" s="99"/>
    </row>
    <row r="43" spans="1:21">
      <c r="A43" s="99"/>
      <c r="B43" s="99"/>
      <c r="C43" s="99"/>
      <c r="D43" s="99"/>
      <c r="E43" s="160"/>
      <c r="F43" s="160"/>
      <c r="G43" s="160"/>
      <c r="H43" s="160"/>
      <c r="I43" s="99"/>
      <c r="J43" s="99"/>
      <c r="K43" s="99"/>
      <c r="L43" s="99"/>
      <c r="M43" s="99"/>
      <c r="N43" s="99"/>
      <c r="O43" s="99"/>
      <c r="P43" s="99"/>
      <c r="Q43" s="99"/>
      <c r="R43" s="99"/>
      <c r="S43" s="99"/>
      <c r="T43" s="99"/>
      <c r="U43" s="99"/>
    </row>
    <row r="44" spans="1:21">
      <c r="A44" s="99"/>
      <c r="B44" s="99"/>
      <c r="C44" s="99"/>
      <c r="D44" s="99"/>
      <c r="E44" s="160"/>
      <c r="F44" s="160"/>
      <c r="G44" s="160"/>
      <c r="H44" s="160"/>
      <c r="I44" s="99"/>
      <c r="J44" s="99"/>
      <c r="K44" s="99"/>
      <c r="L44" s="99"/>
      <c r="M44" s="99"/>
      <c r="N44" s="99"/>
      <c r="O44" s="99"/>
      <c r="P44" s="99"/>
      <c r="Q44" s="99"/>
      <c r="R44" s="99"/>
      <c r="S44" s="99"/>
      <c r="T44" s="99"/>
      <c r="U44" s="99"/>
    </row>
    <row r="45" spans="1:21">
      <c r="A45" s="99"/>
      <c r="B45" s="99"/>
      <c r="C45" s="99"/>
      <c r="D45" s="99"/>
      <c r="E45" s="160"/>
      <c r="F45" s="160"/>
      <c r="G45" s="160"/>
      <c r="H45" s="160"/>
      <c r="I45" s="99"/>
      <c r="J45" s="99"/>
      <c r="K45" s="99"/>
      <c r="L45" s="99"/>
      <c r="M45" s="99"/>
      <c r="N45" s="99"/>
      <c r="O45" s="99"/>
      <c r="P45" s="99"/>
      <c r="Q45" s="99"/>
      <c r="R45" s="99"/>
      <c r="S45" s="99"/>
      <c r="T45" s="99"/>
      <c r="U45" s="99"/>
    </row>
    <row r="46" spans="1:21">
      <c r="A46" s="99"/>
      <c r="B46" s="99"/>
      <c r="C46" s="99"/>
      <c r="D46" s="99"/>
      <c r="E46" s="160"/>
      <c r="F46" s="160"/>
      <c r="G46" s="160"/>
      <c r="H46" s="160"/>
      <c r="I46" s="99"/>
      <c r="J46" s="99"/>
      <c r="K46" s="99"/>
      <c r="L46" s="99"/>
      <c r="M46" s="99"/>
      <c r="N46" s="99"/>
      <c r="O46" s="99"/>
      <c r="P46" s="99"/>
      <c r="Q46" s="99"/>
      <c r="R46" s="99"/>
      <c r="S46" s="99"/>
      <c r="T46" s="99"/>
      <c r="U46" s="99"/>
    </row>
    <row r="47" spans="1:21">
      <c r="A47" s="99"/>
      <c r="B47" s="99"/>
      <c r="C47" s="99"/>
      <c r="D47" s="99"/>
      <c r="E47" s="160"/>
      <c r="F47" s="160"/>
      <c r="G47" s="160"/>
      <c r="H47" s="160"/>
      <c r="I47" s="99"/>
      <c r="J47" s="99"/>
      <c r="K47" s="99"/>
      <c r="L47" s="99"/>
      <c r="M47" s="99"/>
      <c r="N47" s="99"/>
      <c r="O47" s="99"/>
      <c r="P47" s="99"/>
      <c r="Q47" s="99"/>
      <c r="R47" s="99"/>
      <c r="S47" s="99"/>
      <c r="T47" s="99"/>
      <c r="U47" s="99"/>
    </row>
    <row r="48" spans="1:21">
      <c r="A48" s="99"/>
      <c r="B48" s="99"/>
      <c r="C48" s="99"/>
      <c r="D48" s="99"/>
      <c r="E48" s="160"/>
      <c r="F48" s="160"/>
      <c r="G48" s="160"/>
      <c r="H48" s="160"/>
      <c r="I48" s="99"/>
      <c r="J48" s="99"/>
      <c r="K48" s="99"/>
      <c r="L48" s="99"/>
      <c r="M48" s="99"/>
      <c r="N48" s="99"/>
      <c r="O48" s="99"/>
      <c r="P48" s="99"/>
      <c r="Q48" s="99"/>
      <c r="R48" s="99"/>
      <c r="S48" s="99"/>
      <c r="T48" s="99"/>
      <c r="U48" s="99"/>
    </row>
    <row r="49" spans="1:1">
      <c r="A49" s="99"/>
    </row>
  </sheetData>
  <sheetProtection algorithmName="SHA-512" hashValue="W5Goa1q/WBtE3+UMdnpIYBNKpDdDfRxfyxk9Hb4Ig+HYQcBAuc0z+XlZkqjpY4QfF8a3Wx+Atqez7dq4NRh/9Q==" saltValue="5ebRrOdAym0233Cp3Ga4wA==" spinCount="100000" sheet="1" objects="1" scenarios="1"/>
  <mergeCells count="1">
    <mergeCell ref="B4:D4"/>
  </mergeCells>
  <conditionalFormatting sqref="C23">
    <cfRule type="cellIs" dxfId="8" priority="1" operator="greaterThan">
      <formula>50000</formula>
    </cfRule>
    <cfRule type="cellIs" dxfId="7" priority="2" operator="lessThan">
      <formula>50000</formula>
    </cfRule>
  </conditionalFormatting>
  <hyperlinks>
    <hyperlink ref="D25" location="Beispielberechnung!A1" display="weiter" xr:uid="{EC97F5B1-BC9D-4708-95AE-3B245CA2476A}"/>
    <hyperlink ref="B25" location="Rentenlücke!A1" display="zurück" xr:uid="{48BBCED7-139C-4E4E-A456-1A4457E953B8}"/>
    <hyperlink ref="C25" location="'Eingabe Käuferdaten'!A1" display="Menü" xr:uid="{70620096-5DF3-412A-8E44-5336CB5CB988}"/>
  </hyperlinks>
  <pageMargins left="0.70866141732283472" right="0.70866141732283472" top="0.78740157480314965" bottom="0.78740157480314965"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481B4-9169-46D0-8038-E4E3956295DF}">
  <sheetPr codeName="Tabelle8">
    <tabColor rgb="FF92D050"/>
    <pageSetUpPr fitToPage="1"/>
  </sheetPr>
  <dimension ref="A1:Y67"/>
  <sheetViews>
    <sheetView showGridLines="0" showRowColHeaders="0" topLeftCell="A13" zoomScale="85" zoomScaleNormal="85" workbookViewId="0">
      <selection activeCell="K58" sqref="K58"/>
    </sheetView>
  </sheetViews>
  <sheetFormatPr baseColWidth="10" defaultColWidth="10.7265625" defaultRowHeight="12.5"/>
  <cols>
    <col min="1" max="1" width="2.26953125" customWidth="1"/>
    <col min="2" max="2" width="2.81640625" customWidth="1"/>
    <col min="3" max="3" width="20.81640625" customWidth="1"/>
    <col min="4" max="4" width="14" customWidth="1"/>
    <col min="5" max="5" width="8" customWidth="1"/>
    <col min="6" max="6" width="15" customWidth="1"/>
    <col min="7" max="7" width="13.26953125" customWidth="1"/>
    <col min="8" max="8" width="22" customWidth="1"/>
    <col min="9" max="9" width="13.81640625" bestFit="1" customWidth="1"/>
    <col min="10" max="10" width="14.26953125" customWidth="1"/>
    <col min="11" max="12" width="3.26953125" customWidth="1"/>
  </cols>
  <sheetData>
    <row r="1" spans="1:25" ht="13" thickBot="1">
      <c r="A1" s="99"/>
      <c r="B1" s="104"/>
      <c r="C1" s="105"/>
      <c r="D1" s="105"/>
      <c r="E1" s="105"/>
      <c r="F1" s="105"/>
      <c r="G1" s="105"/>
      <c r="H1" s="105"/>
      <c r="I1" s="105"/>
      <c r="J1" s="105"/>
      <c r="K1" s="106"/>
      <c r="L1" s="99"/>
      <c r="M1" s="99"/>
      <c r="N1" s="99"/>
      <c r="O1" s="99"/>
      <c r="P1" s="99"/>
      <c r="Q1" s="99"/>
      <c r="R1" s="99"/>
      <c r="S1" s="99"/>
      <c r="T1" s="99"/>
      <c r="U1" s="99"/>
      <c r="V1" s="99"/>
      <c r="W1" s="99"/>
      <c r="X1" s="99"/>
      <c r="Y1" s="99"/>
    </row>
    <row r="2" spans="1:25" ht="13" thickBot="1">
      <c r="A2" s="99"/>
      <c r="B2" s="302"/>
      <c r="C2" s="303"/>
      <c r="D2" s="303"/>
      <c r="E2" s="303"/>
      <c r="F2" s="303"/>
      <c r="G2" s="303"/>
      <c r="H2" s="303"/>
      <c r="I2" s="303"/>
      <c r="J2" s="303"/>
      <c r="K2" s="304"/>
      <c r="L2" s="99"/>
      <c r="M2" s="99"/>
      <c r="N2" s="99"/>
      <c r="O2" s="99"/>
      <c r="P2" s="99"/>
      <c r="Q2" s="99"/>
      <c r="R2" s="99"/>
      <c r="S2" s="99"/>
      <c r="T2" s="99"/>
      <c r="U2" s="99"/>
      <c r="V2" s="99"/>
      <c r="W2" s="99"/>
      <c r="X2" s="99"/>
      <c r="Y2" s="99"/>
    </row>
    <row r="3" spans="1:25">
      <c r="A3" s="99"/>
      <c r="B3" s="305"/>
      <c r="C3" s="299"/>
      <c r="D3" s="319"/>
      <c r="E3" s="319"/>
      <c r="F3" s="319"/>
      <c r="G3" s="319"/>
      <c r="H3" s="319"/>
      <c r="I3" s="319"/>
      <c r="J3" s="320"/>
      <c r="K3" s="306"/>
      <c r="L3" s="99"/>
      <c r="M3" s="99"/>
      <c r="N3" s="99"/>
      <c r="O3" s="99"/>
      <c r="P3" s="99"/>
      <c r="Q3" s="99"/>
      <c r="R3" s="99"/>
      <c r="S3" s="99"/>
      <c r="T3" s="99"/>
      <c r="U3" s="99"/>
      <c r="V3" s="99"/>
      <c r="W3" s="99"/>
      <c r="X3" s="99"/>
      <c r="Y3" s="99"/>
    </row>
    <row r="4" spans="1:25" ht="15.5">
      <c r="A4" s="99"/>
      <c r="B4" s="305"/>
      <c r="C4" s="332" t="s">
        <v>334</v>
      </c>
      <c r="D4" s="99"/>
      <c r="E4" s="99"/>
      <c r="F4" s="99"/>
      <c r="G4" s="99"/>
      <c r="H4" s="99"/>
      <c r="I4" s="99"/>
      <c r="J4" s="343"/>
      <c r="K4" s="306"/>
      <c r="L4" s="99"/>
      <c r="M4" s="99"/>
      <c r="N4" s="99"/>
      <c r="O4" s="99"/>
      <c r="P4" s="99"/>
      <c r="Q4" s="99"/>
      <c r="R4" s="99"/>
      <c r="S4" s="99"/>
      <c r="T4" s="99"/>
      <c r="U4" s="99"/>
      <c r="V4" s="99"/>
      <c r="W4" s="99"/>
      <c r="X4" s="99"/>
      <c r="Y4" s="99"/>
    </row>
    <row r="5" spans="1:25" ht="13.5" thickBot="1">
      <c r="A5" s="99"/>
      <c r="B5" s="305"/>
      <c r="C5" s="321"/>
      <c r="D5" s="307"/>
      <c r="E5" s="307"/>
      <c r="F5" s="307"/>
      <c r="G5" s="307"/>
      <c r="H5" s="307"/>
      <c r="I5" s="307"/>
      <c r="J5" s="322"/>
      <c r="K5" s="306"/>
      <c r="L5" s="99"/>
      <c r="M5" s="99"/>
      <c r="N5" s="99"/>
      <c r="O5" s="99"/>
      <c r="P5" s="99"/>
      <c r="Q5" s="99"/>
      <c r="R5" s="99"/>
      <c r="S5" s="99"/>
      <c r="T5" s="99"/>
      <c r="U5" s="99"/>
      <c r="V5" s="99"/>
      <c r="W5" s="99"/>
      <c r="X5" s="99"/>
      <c r="Y5" s="99"/>
    </row>
    <row r="6" spans="1:25" ht="13">
      <c r="A6" s="99"/>
      <c r="B6" s="305"/>
      <c r="C6" s="354"/>
      <c r="D6" s="326"/>
      <c r="E6" s="326"/>
      <c r="F6" s="326"/>
      <c r="G6" s="326"/>
      <c r="H6" s="326"/>
      <c r="I6" s="326"/>
      <c r="J6" s="327"/>
      <c r="K6" s="306"/>
      <c r="L6" s="99"/>
      <c r="M6" s="99"/>
      <c r="N6" s="99"/>
      <c r="O6" s="99"/>
      <c r="P6" s="99"/>
      <c r="Q6" s="99"/>
      <c r="R6" s="99"/>
      <c r="S6" s="99"/>
      <c r="T6" s="99"/>
      <c r="U6" s="99"/>
      <c r="V6" s="99"/>
      <c r="W6" s="99"/>
      <c r="X6" s="99"/>
      <c r="Y6" s="99"/>
    </row>
    <row r="7" spans="1:25" ht="15.5">
      <c r="A7" s="99"/>
      <c r="B7" s="305"/>
      <c r="C7" s="339" t="s">
        <v>0</v>
      </c>
      <c r="D7" s="307"/>
      <c r="E7" s="307"/>
      <c r="F7" s="307"/>
      <c r="G7" s="307"/>
      <c r="H7" s="307"/>
      <c r="I7" s="307"/>
      <c r="J7" s="337">
        <f>'Eingabe Immodaten'!C5</f>
        <v>250122</v>
      </c>
      <c r="K7" s="306"/>
      <c r="L7" s="99"/>
      <c r="M7" s="99"/>
      <c r="N7" s="99"/>
      <c r="O7" s="99"/>
      <c r="P7" s="99"/>
      <c r="Q7" s="99"/>
      <c r="R7" s="99"/>
      <c r="S7" s="99"/>
      <c r="T7" s="99"/>
      <c r="U7" s="99"/>
      <c r="V7" s="99"/>
      <c r="W7" s="99"/>
      <c r="X7" s="99"/>
      <c r="Y7" s="99"/>
    </row>
    <row r="8" spans="1:25" ht="15.5">
      <c r="A8" s="99"/>
      <c r="B8" s="305"/>
      <c r="C8" s="339"/>
      <c r="D8" s="307"/>
      <c r="E8" s="307"/>
      <c r="F8" s="307"/>
      <c r="G8" s="307"/>
      <c r="H8" s="307"/>
      <c r="I8" s="307"/>
      <c r="J8" s="337"/>
      <c r="K8" s="306"/>
      <c r="L8" s="99"/>
      <c r="M8" s="99"/>
      <c r="N8" s="99"/>
      <c r="O8" s="99"/>
      <c r="P8" s="99"/>
      <c r="Q8" s="99"/>
      <c r="R8" s="99"/>
      <c r="S8" s="99"/>
      <c r="T8" s="99"/>
      <c r="U8" s="99"/>
      <c r="V8" s="99"/>
      <c r="W8" s="99"/>
      <c r="X8" s="99"/>
      <c r="Y8" s="99"/>
    </row>
    <row r="9" spans="1:25" ht="15.5">
      <c r="A9" s="99"/>
      <c r="B9" s="305"/>
      <c r="C9" s="339" t="s">
        <v>13</v>
      </c>
      <c r="D9" s="307"/>
      <c r="E9" s="307"/>
      <c r="F9" s="307"/>
      <c r="G9" s="307"/>
      <c r="H9" s="307"/>
      <c r="I9" s="307"/>
      <c r="J9" s="337">
        <f>'Eingabe Immodaten'!C8</f>
        <v>18759.149999999998</v>
      </c>
      <c r="K9" s="306"/>
      <c r="L9" s="99"/>
      <c r="M9" s="99"/>
      <c r="N9" s="99"/>
      <c r="O9" s="99"/>
      <c r="P9" s="99"/>
      <c r="Q9" s="99"/>
      <c r="R9" s="99"/>
      <c r="S9" s="99"/>
      <c r="T9" s="99"/>
      <c r="U9" s="99"/>
      <c r="V9" s="99"/>
      <c r="W9" s="99"/>
      <c r="X9" s="99"/>
      <c r="Y9" s="99"/>
    </row>
    <row r="10" spans="1:25" ht="15.5">
      <c r="A10" s="99"/>
      <c r="B10" s="305"/>
      <c r="C10" s="339"/>
      <c r="D10" s="307"/>
      <c r="E10" s="307"/>
      <c r="F10" s="307"/>
      <c r="G10" s="307"/>
      <c r="H10" s="307"/>
      <c r="I10" s="307"/>
      <c r="J10" s="322"/>
      <c r="K10" s="306"/>
      <c r="L10" s="99"/>
      <c r="M10" s="99"/>
      <c r="N10" s="99"/>
      <c r="O10" s="99"/>
      <c r="P10" s="99"/>
      <c r="Q10" s="99"/>
      <c r="R10" s="99"/>
      <c r="S10" s="99"/>
      <c r="T10" s="99"/>
      <c r="U10" s="99"/>
      <c r="V10" s="99"/>
      <c r="W10" s="99"/>
      <c r="X10" s="99"/>
      <c r="Y10" s="99"/>
    </row>
    <row r="11" spans="1:25" ht="15.5">
      <c r="A11" s="99"/>
      <c r="B11" s="305"/>
      <c r="C11" s="339" t="s">
        <v>5</v>
      </c>
      <c r="D11" s="307"/>
      <c r="E11" s="307"/>
      <c r="F11" s="307"/>
      <c r="G11" s="307"/>
      <c r="H11" s="307"/>
      <c r="I11" s="307"/>
      <c r="J11" s="337">
        <f>'Eingabe Immodaten'!C22</f>
        <v>18759</v>
      </c>
      <c r="K11" s="306"/>
      <c r="L11" s="99"/>
      <c r="M11" s="99"/>
      <c r="N11" s="99"/>
      <c r="O11" s="99"/>
      <c r="P11" s="99"/>
      <c r="Q11" s="99"/>
      <c r="R11" s="99"/>
      <c r="S11" s="99"/>
      <c r="T11" s="99"/>
      <c r="U11" s="99"/>
      <c r="V11" s="99"/>
      <c r="W11" s="99"/>
      <c r="X11" s="99"/>
      <c r="Y11" s="99"/>
    </row>
    <row r="12" spans="1:25" ht="15.5">
      <c r="A12" s="99"/>
      <c r="B12" s="305"/>
      <c r="C12" s="339"/>
      <c r="D12" s="307"/>
      <c r="E12" s="307"/>
      <c r="F12" s="307"/>
      <c r="G12" s="307"/>
      <c r="H12" s="307"/>
      <c r="I12" s="307"/>
      <c r="J12" s="322"/>
      <c r="K12" s="306"/>
      <c r="L12" s="99"/>
      <c r="M12" s="99"/>
      <c r="N12" s="99"/>
      <c r="O12" s="99"/>
      <c r="P12" s="99"/>
      <c r="Q12" s="99"/>
      <c r="R12" s="99"/>
      <c r="S12" s="99"/>
      <c r="T12" s="99"/>
      <c r="U12" s="99"/>
      <c r="V12" s="99"/>
      <c r="W12" s="99"/>
      <c r="X12" s="99"/>
      <c r="Y12" s="99"/>
    </row>
    <row r="13" spans="1:25" ht="15.5">
      <c r="A13" s="99"/>
      <c r="B13" s="305"/>
      <c r="C13" s="339" t="s">
        <v>340</v>
      </c>
      <c r="D13" s="307"/>
      <c r="E13" s="307"/>
      <c r="F13" s="307"/>
      <c r="G13" s="307"/>
      <c r="H13" s="307"/>
      <c r="I13" s="307"/>
      <c r="J13" s="337">
        <f>'Eingabe Immodaten'!C23</f>
        <v>250122.15000000002</v>
      </c>
      <c r="K13" s="306"/>
      <c r="L13" s="99"/>
      <c r="M13" s="99"/>
      <c r="N13" s="99"/>
      <c r="O13" s="99"/>
      <c r="P13" s="99"/>
      <c r="Q13" s="99"/>
      <c r="R13" s="99"/>
      <c r="S13" s="99"/>
      <c r="T13" s="99"/>
      <c r="U13" s="99"/>
      <c r="V13" s="99"/>
      <c r="W13" s="99"/>
      <c r="X13" s="99"/>
      <c r="Y13" s="99"/>
    </row>
    <row r="14" spans="1:25" ht="15.5">
      <c r="A14" s="99"/>
      <c r="B14" s="305"/>
      <c r="C14" s="339"/>
      <c r="D14" s="307"/>
      <c r="E14" s="307"/>
      <c r="F14" s="307"/>
      <c r="G14" s="307"/>
      <c r="H14" s="307"/>
      <c r="I14" s="307"/>
      <c r="J14" s="322"/>
      <c r="K14" s="306"/>
      <c r="L14" s="99"/>
      <c r="M14" s="99"/>
      <c r="N14" s="99"/>
      <c r="O14" s="99"/>
      <c r="P14" s="99"/>
      <c r="Q14" s="99"/>
      <c r="R14" s="99"/>
      <c r="S14" s="99"/>
      <c r="T14" s="99"/>
      <c r="U14" s="99"/>
      <c r="V14" s="99"/>
      <c r="W14" s="99"/>
      <c r="X14" s="99"/>
      <c r="Y14" s="99"/>
    </row>
    <row r="15" spans="1:25" ht="15.5">
      <c r="A15" s="99"/>
      <c r="B15" s="305"/>
      <c r="C15" s="339" t="s">
        <v>284</v>
      </c>
      <c r="D15" s="307"/>
      <c r="E15" s="307"/>
      <c r="F15" s="307"/>
      <c r="G15" s="307"/>
      <c r="H15" s="307"/>
      <c r="I15" s="307"/>
      <c r="J15" s="340">
        <f>(D24*12)/J7</f>
        <v>4.5577758054069613E-2</v>
      </c>
      <c r="K15" s="306"/>
      <c r="L15" s="99"/>
      <c r="M15" s="99"/>
      <c r="N15" s="99"/>
      <c r="O15" s="99"/>
      <c r="P15" s="99"/>
      <c r="Q15" s="99"/>
      <c r="R15" s="99"/>
      <c r="S15" s="99"/>
      <c r="T15" s="99"/>
      <c r="U15" s="99"/>
      <c r="V15" s="99"/>
      <c r="W15" s="99"/>
      <c r="X15" s="99"/>
      <c r="Y15" s="99"/>
    </row>
    <row r="16" spans="1:25" ht="15.5">
      <c r="A16" s="99"/>
      <c r="B16" s="305"/>
      <c r="C16" s="339"/>
      <c r="D16" s="307"/>
      <c r="E16" s="307"/>
      <c r="F16" s="307"/>
      <c r="G16" s="307"/>
      <c r="H16" s="307"/>
      <c r="I16" s="307"/>
      <c r="J16" s="322"/>
      <c r="K16" s="306"/>
      <c r="L16" s="99"/>
      <c r="M16" s="99"/>
      <c r="N16" s="99"/>
      <c r="O16" s="99"/>
      <c r="P16" s="99"/>
      <c r="Q16" s="99"/>
      <c r="R16" s="99"/>
      <c r="S16" s="99"/>
      <c r="T16" s="99"/>
      <c r="U16" s="99"/>
      <c r="V16" s="99"/>
      <c r="W16" s="99"/>
      <c r="X16" s="99"/>
      <c r="Y16" s="99"/>
    </row>
    <row r="17" spans="1:25" ht="15.5">
      <c r="A17" s="99"/>
      <c r="B17" s="305"/>
      <c r="C17" s="339" t="s">
        <v>285</v>
      </c>
      <c r="D17" s="307"/>
      <c r="E17" s="307"/>
      <c r="F17" s="307"/>
      <c r="G17" s="307"/>
      <c r="H17" s="307"/>
      <c r="I17" s="307"/>
      <c r="J17" s="341">
        <f>'Eingabe Immodaten'!H15</f>
        <v>3.5</v>
      </c>
      <c r="K17" s="306"/>
      <c r="L17" s="99"/>
      <c r="M17" s="99"/>
      <c r="N17" s="99"/>
      <c r="O17" s="99"/>
      <c r="P17" s="99"/>
      <c r="Q17" s="99"/>
      <c r="R17" s="99"/>
      <c r="S17" s="99"/>
      <c r="T17" s="99"/>
      <c r="U17" s="99"/>
      <c r="V17" s="99"/>
      <c r="W17" s="99"/>
      <c r="X17" s="99"/>
      <c r="Y17" s="99"/>
    </row>
    <row r="18" spans="1:25" ht="13.5" thickBot="1">
      <c r="A18" s="99"/>
      <c r="B18" s="305"/>
      <c r="C18" s="323"/>
      <c r="D18" s="324"/>
      <c r="E18" s="324"/>
      <c r="F18" s="324"/>
      <c r="G18" s="324"/>
      <c r="H18" s="324"/>
      <c r="I18" s="324"/>
      <c r="J18" s="325"/>
      <c r="K18" s="306"/>
      <c r="L18" s="99"/>
      <c r="M18" s="99"/>
      <c r="N18" s="99"/>
      <c r="O18" s="99"/>
      <c r="P18" s="99"/>
      <c r="Q18" s="99"/>
      <c r="R18" s="99"/>
      <c r="S18" s="99"/>
      <c r="T18" s="99"/>
      <c r="U18" s="99"/>
      <c r="V18" s="99"/>
      <c r="W18" s="99"/>
      <c r="X18" s="99"/>
      <c r="Y18" s="99"/>
    </row>
    <row r="19" spans="1:25" ht="13" thickBot="1">
      <c r="A19" s="99"/>
      <c r="B19" s="308"/>
      <c r="C19" s="309"/>
      <c r="D19" s="309"/>
      <c r="E19" s="309"/>
      <c r="F19" s="309"/>
      <c r="G19" s="309"/>
      <c r="H19" s="309"/>
      <c r="I19" s="309"/>
      <c r="J19" s="309"/>
      <c r="K19" s="310"/>
      <c r="L19" s="99"/>
      <c r="M19" s="99"/>
      <c r="N19" s="99"/>
      <c r="O19" s="99"/>
      <c r="P19" s="99"/>
      <c r="Q19" s="99"/>
      <c r="R19" s="99"/>
      <c r="S19" s="99"/>
      <c r="T19" s="99"/>
      <c r="U19" s="99"/>
      <c r="V19" s="99"/>
      <c r="W19" s="99"/>
      <c r="X19" s="99"/>
      <c r="Y19" s="99"/>
    </row>
    <row r="20" spans="1:25" ht="13">
      <c r="A20" s="99"/>
      <c r="B20" s="308"/>
      <c r="C20" s="299"/>
      <c r="D20" s="326"/>
      <c r="E20" s="326"/>
      <c r="F20" s="326"/>
      <c r="G20" s="326"/>
      <c r="H20" s="300"/>
      <c r="I20" s="326"/>
      <c r="J20" s="327"/>
      <c r="K20" s="310"/>
      <c r="L20" s="99"/>
      <c r="M20" s="99"/>
      <c r="N20" s="99"/>
      <c r="O20" s="99"/>
      <c r="P20" s="99"/>
      <c r="Q20" s="99"/>
      <c r="R20" s="99"/>
      <c r="S20" s="99"/>
      <c r="T20" s="99"/>
      <c r="U20" s="99"/>
      <c r="V20" s="99"/>
      <c r="W20" s="99"/>
      <c r="X20" s="99"/>
      <c r="Y20" s="99"/>
    </row>
    <row r="21" spans="1:25" ht="15.5">
      <c r="A21" s="99"/>
      <c r="B21" s="308"/>
      <c r="C21" s="332" t="s">
        <v>164</v>
      </c>
      <c r="D21" s="307"/>
      <c r="E21" s="307"/>
      <c r="F21" s="307"/>
      <c r="G21" s="307"/>
      <c r="H21" s="69" t="s">
        <v>286</v>
      </c>
      <c r="I21" s="307"/>
      <c r="J21" s="322"/>
      <c r="K21" s="310"/>
      <c r="L21" s="99"/>
      <c r="M21" s="99"/>
      <c r="N21" s="99"/>
      <c r="O21" s="99"/>
      <c r="P21" s="99"/>
      <c r="Q21" s="99"/>
      <c r="R21" s="99"/>
      <c r="S21" s="99"/>
      <c r="T21" s="99"/>
      <c r="U21" s="99"/>
      <c r="V21" s="99"/>
      <c r="W21" s="99"/>
      <c r="X21" s="99"/>
      <c r="Y21" s="99"/>
    </row>
    <row r="22" spans="1:25" ht="13" thickBot="1">
      <c r="A22" s="99"/>
      <c r="B22" s="308"/>
      <c r="C22" s="334"/>
      <c r="D22" s="335"/>
      <c r="E22" s="335"/>
      <c r="F22" s="335"/>
      <c r="G22" s="335"/>
      <c r="H22" s="335"/>
      <c r="I22" s="335"/>
      <c r="J22" s="336"/>
      <c r="K22" s="310"/>
      <c r="L22" s="99"/>
      <c r="M22" s="99"/>
      <c r="N22" s="99"/>
      <c r="O22" s="99"/>
      <c r="P22" s="99"/>
      <c r="Q22" s="99"/>
      <c r="R22" s="99"/>
      <c r="S22" s="99"/>
      <c r="T22" s="99"/>
      <c r="U22" s="99"/>
      <c r="V22" s="99"/>
      <c r="W22" s="99"/>
      <c r="X22" s="99"/>
      <c r="Y22" s="99"/>
    </row>
    <row r="23" spans="1:25">
      <c r="A23" s="99"/>
      <c r="B23" s="308"/>
      <c r="C23" s="330"/>
      <c r="D23" s="99"/>
      <c r="E23" s="99"/>
      <c r="F23" s="99"/>
      <c r="G23" s="99"/>
      <c r="H23" s="99"/>
      <c r="I23" s="99"/>
      <c r="J23" s="331"/>
      <c r="K23" s="310"/>
      <c r="L23" s="99"/>
      <c r="M23" s="99"/>
      <c r="N23" s="99"/>
      <c r="O23" s="99"/>
      <c r="P23" s="99"/>
      <c r="Q23" s="99"/>
      <c r="R23" s="99"/>
      <c r="S23" s="99"/>
      <c r="T23" s="99"/>
      <c r="U23" s="99"/>
      <c r="V23" s="99"/>
      <c r="W23" s="99"/>
      <c r="X23" s="99"/>
      <c r="Y23" s="99"/>
    </row>
    <row r="24" spans="1:25" ht="15.5">
      <c r="A24" s="99"/>
      <c r="B24" s="308"/>
      <c r="C24" s="339" t="s">
        <v>50</v>
      </c>
      <c r="D24" s="301">
        <f>'Eingabe Immodaten'!D11</f>
        <v>950</v>
      </c>
      <c r="E24" s="307"/>
      <c r="F24" s="307"/>
      <c r="G24" s="307"/>
      <c r="H24" s="154" t="s">
        <v>287</v>
      </c>
      <c r="I24" s="342">
        <f>'Eingabe Immodaten'!C30/100</f>
        <v>4.2999999999999997E-2</v>
      </c>
      <c r="J24" s="333">
        <f>(Ergebnistabelle!P7+Ergebnistabelle!S7)/12</f>
        <v>896.27049999999997</v>
      </c>
      <c r="K24" s="310"/>
      <c r="L24" s="99"/>
      <c r="M24" s="99"/>
      <c r="N24" s="99"/>
      <c r="O24" s="99"/>
      <c r="P24" s="99"/>
      <c r="Q24" s="99"/>
      <c r="R24" s="99"/>
      <c r="S24" s="99"/>
      <c r="T24" s="99"/>
      <c r="U24" s="99"/>
      <c r="V24" s="99"/>
      <c r="W24" s="99"/>
      <c r="X24" s="99"/>
      <c r="Y24" s="99"/>
    </row>
    <row r="25" spans="1:25" ht="15.5">
      <c r="A25" s="99"/>
      <c r="B25" s="308"/>
      <c r="C25" s="144"/>
      <c r="D25" s="124"/>
      <c r="E25" s="307"/>
      <c r="F25" s="307"/>
      <c r="G25" s="307"/>
      <c r="H25" s="154"/>
      <c r="I25" s="154"/>
      <c r="J25" s="333"/>
      <c r="K25" s="310"/>
      <c r="L25" s="99"/>
      <c r="M25" s="99"/>
      <c r="N25" s="99"/>
      <c r="O25" s="99"/>
      <c r="P25" s="99"/>
      <c r="Q25" s="99"/>
      <c r="R25" s="99"/>
      <c r="S25" s="99"/>
      <c r="T25" s="99"/>
      <c r="U25" s="99"/>
      <c r="V25" s="99"/>
      <c r="W25" s="99"/>
      <c r="X25" s="99"/>
      <c r="Y25" s="99"/>
    </row>
    <row r="26" spans="1:25" ht="15.5">
      <c r="A26" s="99"/>
      <c r="B26" s="308"/>
      <c r="C26" s="339" t="str">
        <f>IF(D26&lt;0,"Steuerentlastung","Steuerzahlung")</f>
        <v>Steuerentlastung</v>
      </c>
      <c r="D26" s="301">
        <f>(Ergebnistabelle!AF7/12)</f>
        <v>-267.02124149999997</v>
      </c>
      <c r="E26" s="307"/>
      <c r="F26" s="307"/>
      <c r="G26" s="307"/>
      <c r="H26" s="154" t="s">
        <v>53</v>
      </c>
      <c r="I26" s="342">
        <f>'Eingabe Immodaten'!C31/100</f>
        <v>0.02</v>
      </c>
      <c r="J26" s="333">
        <f>(Ergebnistabelle!Q7+Ergebnistabelle!T7)/12</f>
        <v>416.86999999999989</v>
      </c>
      <c r="K26" s="310"/>
      <c r="L26" s="99"/>
      <c r="M26" s="99"/>
      <c r="N26" s="99"/>
      <c r="O26" s="99"/>
      <c r="P26" s="99"/>
      <c r="Q26" s="99"/>
      <c r="R26" s="99"/>
      <c r="S26" s="99"/>
      <c r="T26" s="99"/>
      <c r="U26" s="99"/>
      <c r="V26" s="99"/>
      <c r="W26" s="99"/>
      <c r="X26" s="99"/>
      <c r="Y26" s="99"/>
    </row>
    <row r="27" spans="1:25" ht="15.5">
      <c r="A27" s="99"/>
      <c r="B27" s="308"/>
      <c r="C27" s="321"/>
      <c r="D27" s="307"/>
      <c r="E27" s="307"/>
      <c r="F27" s="307"/>
      <c r="G27" s="307"/>
      <c r="H27" s="154"/>
      <c r="I27" s="154"/>
      <c r="J27" s="333"/>
      <c r="K27" s="310"/>
      <c r="L27" s="99"/>
      <c r="M27" s="99"/>
      <c r="N27" s="99"/>
      <c r="O27" s="99"/>
      <c r="P27" s="99"/>
      <c r="Q27" s="99"/>
      <c r="R27" s="99"/>
      <c r="S27" s="99"/>
      <c r="T27" s="99"/>
      <c r="U27" s="99"/>
      <c r="V27" s="99"/>
      <c r="W27" s="99"/>
      <c r="X27" s="99"/>
      <c r="Y27" s="99"/>
    </row>
    <row r="28" spans="1:25" ht="15.5">
      <c r="A28" s="99"/>
      <c r="B28" s="308"/>
      <c r="C28" s="330"/>
      <c r="D28" s="99"/>
      <c r="E28" s="307"/>
      <c r="F28" s="307"/>
      <c r="G28" s="307"/>
      <c r="H28" s="154" t="s">
        <v>332</v>
      </c>
      <c r="I28" s="154"/>
      <c r="J28" s="333">
        <f>'Eingabe Immodaten'!D13</f>
        <v>60</v>
      </c>
      <c r="K28" s="310"/>
      <c r="L28" s="99"/>
      <c r="M28" s="99"/>
      <c r="N28" s="99"/>
      <c r="O28" s="99"/>
      <c r="P28" s="99"/>
      <c r="Q28" s="99"/>
      <c r="R28" s="99"/>
      <c r="S28" s="99"/>
      <c r="T28" s="99"/>
      <c r="U28" s="99"/>
      <c r="V28" s="99"/>
      <c r="W28" s="99"/>
      <c r="X28" s="99"/>
      <c r="Y28" s="99"/>
    </row>
    <row r="29" spans="1:25" ht="15.5">
      <c r="A29" s="99"/>
      <c r="B29" s="308"/>
      <c r="C29" s="321"/>
      <c r="D29" s="307"/>
      <c r="E29" s="307"/>
      <c r="F29" s="307"/>
      <c r="G29" s="307"/>
      <c r="H29" s="154"/>
      <c r="I29" s="154"/>
      <c r="J29" s="333"/>
      <c r="K29" s="310"/>
      <c r="L29" s="99"/>
      <c r="M29" s="99"/>
      <c r="N29" s="99"/>
      <c r="O29" s="99"/>
      <c r="P29" s="99"/>
      <c r="Q29" s="99"/>
      <c r="R29" s="99"/>
      <c r="S29" s="99"/>
      <c r="T29" s="99"/>
      <c r="U29" s="99"/>
      <c r="V29" s="99"/>
      <c r="W29" s="99"/>
      <c r="X29" s="99"/>
      <c r="Y29" s="99"/>
    </row>
    <row r="30" spans="1:25" ht="15.5">
      <c r="A30" s="99"/>
      <c r="B30" s="308"/>
      <c r="C30" s="321"/>
      <c r="D30" s="307"/>
      <c r="E30" s="307"/>
      <c r="F30" s="307"/>
      <c r="G30" s="307"/>
      <c r="H30" s="154" t="s">
        <v>288</v>
      </c>
      <c r="I30" s="154"/>
      <c r="J30" s="333">
        <f>'Eingabe Immodaten'!D12</f>
        <v>51.01</v>
      </c>
      <c r="K30" s="310"/>
      <c r="L30" s="99"/>
      <c r="M30" s="99"/>
      <c r="N30" s="99"/>
      <c r="O30" s="99"/>
      <c r="P30" s="99"/>
      <c r="Q30" s="99"/>
      <c r="R30" s="99"/>
      <c r="S30" s="99"/>
      <c r="T30" s="99"/>
      <c r="U30" s="99"/>
      <c r="V30" s="99"/>
      <c r="W30" s="99"/>
      <c r="X30" s="99"/>
      <c r="Y30" s="99"/>
    </row>
    <row r="31" spans="1:25" ht="13" thickBot="1">
      <c r="A31" s="99"/>
      <c r="B31" s="308"/>
      <c r="C31" s="328"/>
      <c r="D31" s="103"/>
      <c r="E31" s="103"/>
      <c r="F31" s="103"/>
      <c r="G31" s="103"/>
      <c r="H31" s="103"/>
      <c r="I31" s="103"/>
      <c r="J31" s="329"/>
      <c r="K31" s="310"/>
      <c r="L31" s="99"/>
      <c r="M31" s="99"/>
      <c r="N31" s="99"/>
      <c r="O31" s="99"/>
      <c r="P31" s="338"/>
      <c r="Q31" s="99"/>
      <c r="R31" s="99"/>
      <c r="S31" s="99"/>
      <c r="T31" s="99"/>
      <c r="U31" s="99"/>
      <c r="V31" s="99"/>
      <c r="W31" s="99"/>
      <c r="X31" s="99"/>
      <c r="Y31" s="99"/>
    </row>
    <row r="32" spans="1:25" ht="13">
      <c r="A32" s="99"/>
      <c r="B32" s="308"/>
      <c r="C32" s="321"/>
      <c r="D32" s="307"/>
      <c r="E32" s="307"/>
      <c r="F32" s="307"/>
      <c r="G32" s="307"/>
      <c r="H32" s="307"/>
      <c r="I32" s="307"/>
      <c r="J32" s="322"/>
      <c r="K32" s="310"/>
      <c r="L32" s="99"/>
      <c r="M32" s="99"/>
      <c r="N32" s="99"/>
      <c r="O32" s="99"/>
      <c r="P32" s="99"/>
      <c r="Q32" s="99"/>
      <c r="R32" s="99"/>
      <c r="S32" s="99"/>
      <c r="T32" s="99"/>
      <c r="U32" s="99"/>
      <c r="V32" s="99"/>
      <c r="W32" s="99"/>
      <c r="X32" s="99"/>
      <c r="Y32" s="99"/>
    </row>
    <row r="33" spans="1:25" ht="15.5">
      <c r="A33" s="99"/>
      <c r="B33" s="308"/>
      <c r="C33" s="332" t="s">
        <v>76</v>
      </c>
      <c r="D33" s="344">
        <f>D24-D26</f>
        <v>1217.0212415000001</v>
      </c>
      <c r="E33" s="345"/>
      <c r="F33" s="345"/>
      <c r="G33" s="345"/>
      <c r="H33" s="69" t="s">
        <v>289</v>
      </c>
      <c r="I33" s="345"/>
      <c r="J33" s="346">
        <f>SUM(J24:J30)</f>
        <v>1424.1505</v>
      </c>
      <c r="K33" s="310"/>
      <c r="L33" s="99"/>
      <c r="M33" s="99"/>
      <c r="N33" s="99"/>
      <c r="O33" s="99"/>
      <c r="P33" s="99"/>
      <c r="Q33" s="99"/>
      <c r="R33" s="99"/>
      <c r="S33" s="99"/>
      <c r="T33" s="99"/>
      <c r="U33" s="99"/>
      <c r="V33" s="99"/>
      <c r="W33" s="99"/>
      <c r="X33" s="99"/>
      <c r="Y33" s="99"/>
    </row>
    <row r="34" spans="1:25" ht="13" thickBot="1">
      <c r="A34" s="99"/>
      <c r="B34" s="308"/>
      <c r="C34" s="334"/>
      <c r="D34" s="335"/>
      <c r="E34" s="335"/>
      <c r="F34" s="335"/>
      <c r="G34" s="335"/>
      <c r="H34" s="335"/>
      <c r="I34" s="335"/>
      <c r="J34" s="336"/>
      <c r="K34" s="310"/>
      <c r="L34" s="99"/>
      <c r="M34" s="99"/>
      <c r="N34" s="99"/>
      <c r="O34" s="99"/>
      <c r="P34" s="99"/>
      <c r="Q34" s="99"/>
      <c r="R34" s="99"/>
      <c r="S34" s="99"/>
      <c r="T34" s="99"/>
      <c r="U34" s="99"/>
      <c r="V34" s="99"/>
      <c r="W34" s="99"/>
      <c r="X34" s="99"/>
      <c r="Y34" s="99"/>
    </row>
    <row r="35" spans="1:25">
      <c r="A35" s="99"/>
      <c r="B35" s="308"/>
      <c r="C35" s="309"/>
      <c r="D35" s="309"/>
      <c r="E35" s="309"/>
      <c r="F35" s="309"/>
      <c r="G35" s="309"/>
      <c r="H35" s="309"/>
      <c r="I35" s="309"/>
      <c r="J35" s="309"/>
      <c r="K35" s="310"/>
      <c r="L35" s="99"/>
      <c r="M35" s="99"/>
      <c r="N35" s="99"/>
      <c r="O35" s="99"/>
      <c r="P35" s="99"/>
      <c r="Q35" s="99"/>
      <c r="R35" s="99"/>
      <c r="S35" s="99"/>
      <c r="T35" s="99"/>
      <c r="U35" s="99"/>
      <c r="V35" s="99"/>
      <c r="W35" s="99"/>
      <c r="X35" s="99"/>
      <c r="Y35" s="99"/>
    </row>
    <row r="36" spans="1:25">
      <c r="A36" s="99"/>
      <c r="B36" s="308"/>
      <c r="C36" s="311"/>
      <c r="D36" s="311"/>
      <c r="E36" s="311"/>
      <c r="F36" s="311"/>
      <c r="G36" s="311"/>
      <c r="H36" s="312"/>
      <c r="I36" s="311"/>
      <c r="J36" s="311"/>
      <c r="K36" s="310"/>
      <c r="L36" s="99"/>
      <c r="M36" s="99"/>
      <c r="N36" s="99"/>
      <c r="O36" s="99"/>
      <c r="P36" s="99"/>
      <c r="Q36" s="99"/>
      <c r="R36" s="99"/>
      <c r="S36" s="99"/>
      <c r="T36" s="99"/>
      <c r="U36" s="99"/>
      <c r="V36" s="99"/>
      <c r="W36" s="99"/>
      <c r="X36" s="99"/>
      <c r="Y36" s="99"/>
    </row>
    <row r="37" spans="1:25" ht="15.5">
      <c r="A37" s="99"/>
      <c r="B37" s="308"/>
      <c r="C37" s="575" t="s">
        <v>333</v>
      </c>
      <c r="D37" s="576"/>
      <c r="E37" s="576"/>
      <c r="F37" s="576"/>
      <c r="G37" s="576"/>
      <c r="H37" s="576"/>
      <c r="I37" s="576"/>
      <c r="J37" s="576"/>
      <c r="K37" s="310"/>
      <c r="L37" s="99"/>
      <c r="M37" s="99"/>
      <c r="N37" s="99"/>
      <c r="O37" s="99"/>
      <c r="P37" s="99"/>
      <c r="Q37" s="99"/>
      <c r="R37" s="99"/>
      <c r="S37" s="99"/>
      <c r="T37" s="99"/>
      <c r="U37" s="99"/>
      <c r="V37" s="99"/>
      <c r="W37" s="99"/>
      <c r="X37" s="99"/>
      <c r="Y37" s="99"/>
    </row>
    <row r="38" spans="1:25" ht="15.5">
      <c r="A38" s="99"/>
      <c r="B38" s="308"/>
      <c r="C38" s="577">
        <f>J33-D33</f>
        <v>207.12925849999988</v>
      </c>
      <c r="D38" s="577"/>
      <c r="E38" s="577"/>
      <c r="F38" s="577"/>
      <c r="G38" s="577"/>
      <c r="H38" s="577"/>
      <c r="I38" s="577"/>
      <c r="J38" s="577"/>
      <c r="K38" s="310"/>
      <c r="L38" s="99"/>
      <c r="M38" s="99"/>
      <c r="N38" s="99"/>
      <c r="O38" s="99"/>
      <c r="P38" s="99"/>
      <c r="Q38" s="99"/>
      <c r="R38" s="99"/>
      <c r="S38" s="99"/>
      <c r="T38" s="99"/>
      <c r="U38" s="99"/>
      <c r="V38" s="99"/>
      <c r="W38" s="99"/>
      <c r="X38" s="99"/>
      <c r="Y38" s="99"/>
    </row>
    <row r="39" spans="1:25">
      <c r="A39" s="99"/>
      <c r="B39" s="308"/>
      <c r="C39" s="311"/>
      <c r="D39" s="311"/>
      <c r="E39" s="312"/>
      <c r="F39" s="312"/>
      <c r="G39" s="312"/>
      <c r="H39" s="312"/>
      <c r="I39" s="311"/>
      <c r="J39" s="311"/>
      <c r="K39" s="310"/>
      <c r="L39" s="99"/>
      <c r="M39" s="99"/>
      <c r="N39" s="99"/>
      <c r="O39" s="99"/>
      <c r="P39" s="99"/>
      <c r="Q39" s="99"/>
      <c r="R39" s="99"/>
      <c r="S39" s="99"/>
      <c r="T39" s="99"/>
      <c r="U39" s="99"/>
      <c r="V39" s="99"/>
      <c r="W39" s="99"/>
      <c r="X39" s="99"/>
      <c r="Y39" s="99"/>
    </row>
    <row r="40" spans="1:25">
      <c r="A40" s="99"/>
      <c r="B40" s="308"/>
      <c r="C40" s="309"/>
      <c r="D40" s="309"/>
      <c r="E40" s="309"/>
      <c r="F40" s="309"/>
      <c r="G40" s="309"/>
      <c r="H40" s="309"/>
      <c r="I40" s="309"/>
      <c r="J40" s="309"/>
      <c r="K40" s="310"/>
      <c r="L40" s="99"/>
      <c r="M40" s="99"/>
      <c r="N40" s="99"/>
      <c r="O40" s="99"/>
      <c r="P40" s="99"/>
      <c r="Q40" s="99"/>
      <c r="R40" s="99"/>
      <c r="S40" s="99"/>
      <c r="T40" s="99"/>
      <c r="U40" s="99"/>
      <c r="V40" s="99"/>
      <c r="W40" s="99"/>
      <c r="X40" s="99"/>
      <c r="Y40" s="99"/>
    </row>
    <row r="41" spans="1:25">
      <c r="A41" s="99"/>
      <c r="B41" s="308"/>
      <c r="C41" s="309"/>
      <c r="D41" s="309"/>
      <c r="E41" s="309"/>
      <c r="F41" s="309"/>
      <c r="G41" s="309"/>
      <c r="H41" s="309"/>
      <c r="I41" s="309"/>
      <c r="J41" s="309"/>
      <c r="K41" s="310"/>
      <c r="L41" s="99"/>
      <c r="M41" s="99"/>
      <c r="N41" s="99"/>
      <c r="O41" s="99"/>
      <c r="P41" s="99"/>
      <c r="Q41" s="99"/>
      <c r="R41" s="99"/>
      <c r="S41" s="99"/>
      <c r="T41" s="99"/>
      <c r="U41" s="99"/>
      <c r="V41" s="99"/>
      <c r="W41" s="99"/>
      <c r="X41" s="99"/>
      <c r="Y41" s="99"/>
    </row>
    <row r="42" spans="1:25">
      <c r="A42" s="99"/>
      <c r="B42" s="308"/>
      <c r="C42" s="309"/>
      <c r="D42" s="309"/>
      <c r="E42" s="309"/>
      <c r="F42" s="309"/>
      <c r="G42" s="309"/>
      <c r="H42" s="309"/>
      <c r="I42" s="309"/>
      <c r="J42" s="309"/>
      <c r="K42" s="310"/>
      <c r="L42" s="99"/>
      <c r="M42" s="99"/>
      <c r="N42" s="99"/>
      <c r="O42" s="99"/>
      <c r="P42" s="99"/>
      <c r="Q42" s="99"/>
      <c r="R42" s="99"/>
      <c r="S42" s="99"/>
      <c r="T42" s="99"/>
      <c r="U42" s="99"/>
      <c r="V42" s="99"/>
      <c r="W42" s="99"/>
      <c r="X42" s="99"/>
      <c r="Y42" s="99"/>
    </row>
    <row r="43" spans="1:25">
      <c r="A43" s="99"/>
      <c r="B43" s="308"/>
      <c r="C43" s="309"/>
      <c r="D43" s="309"/>
      <c r="E43" s="309"/>
      <c r="F43" s="309"/>
      <c r="G43" s="309"/>
      <c r="H43" s="309"/>
      <c r="I43" s="309"/>
      <c r="J43" s="309"/>
      <c r="K43" s="310"/>
      <c r="L43" s="99"/>
      <c r="M43" s="99"/>
      <c r="N43" s="99"/>
      <c r="O43" s="99"/>
      <c r="P43" s="99"/>
      <c r="Q43" s="99"/>
      <c r="R43" s="99"/>
      <c r="S43" s="99"/>
      <c r="T43" s="99"/>
      <c r="U43" s="99"/>
      <c r="V43" s="99"/>
      <c r="W43" s="99"/>
      <c r="X43" s="99"/>
      <c r="Y43" s="99"/>
    </row>
    <row r="44" spans="1:25">
      <c r="A44" s="99"/>
      <c r="B44" s="308"/>
      <c r="C44" s="309"/>
      <c r="D44" s="309"/>
      <c r="E44" s="309"/>
      <c r="F44" s="309"/>
      <c r="G44" s="309"/>
      <c r="H44" s="309"/>
      <c r="I44" s="309"/>
      <c r="J44" s="309"/>
      <c r="K44" s="310"/>
      <c r="L44" s="99"/>
      <c r="M44" s="99"/>
      <c r="N44" s="99"/>
      <c r="O44" s="99"/>
      <c r="P44" s="99"/>
      <c r="Q44" s="99"/>
      <c r="R44" s="99"/>
      <c r="S44" s="99"/>
      <c r="T44" s="99"/>
      <c r="U44" s="99"/>
      <c r="V44" s="99"/>
      <c r="W44" s="99"/>
      <c r="X44" s="99"/>
      <c r="Y44" s="99"/>
    </row>
    <row r="45" spans="1:25">
      <c r="A45" s="99"/>
      <c r="B45" s="308"/>
      <c r="C45" s="309"/>
      <c r="D45" s="309"/>
      <c r="E45" s="309"/>
      <c r="F45" s="309"/>
      <c r="G45" s="309"/>
      <c r="H45" s="309"/>
      <c r="I45" s="309"/>
      <c r="J45" s="309"/>
      <c r="K45" s="310"/>
      <c r="L45" s="99"/>
      <c r="M45" s="99"/>
      <c r="N45" s="99"/>
      <c r="O45" s="99"/>
      <c r="P45" s="99"/>
      <c r="Q45" s="99"/>
      <c r="R45" s="99"/>
      <c r="S45" s="99"/>
      <c r="T45" s="99"/>
      <c r="U45" s="99"/>
      <c r="V45" s="99"/>
      <c r="W45" s="99"/>
      <c r="X45" s="99"/>
      <c r="Y45" s="99"/>
    </row>
    <row r="46" spans="1:25">
      <c r="A46" s="99"/>
      <c r="B46" s="308"/>
      <c r="C46" s="309"/>
      <c r="D46" s="309"/>
      <c r="E46" s="309"/>
      <c r="F46" s="309"/>
      <c r="G46" s="309"/>
      <c r="H46" s="309"/>
      <c r="I46" s="309"/>
      <c r="J46" s="309"/>
      <c r="K46" s="310"/>
      <c r="L46" s="99"/>
      <c r="M46" s="99"/>
      <c r="N46" s="99"/>
      <c r="O46" s="99"/>
      <c r="P46" s="99"/>
      <c r="Q46" s="99"/>
      <c r="R46" s="99"/>
      <c r="S46" s="99"/>
      <c r="T46" s="99"/>
      <c r="U46" s="99"/>
      <c r="V46" s="99"/>
      <c r="W46" s="99"/>
      <c r="X46" s="99"/>
      <c r="Y46" s="99"/>
    </row>
    <row r="47" spans="1:25">
      <c r="A47" s="99"/>
      <c r="B47" s="308"/>
      <c r="C47" s="309"/>
      <c r="D47" s="309"/>
      <c r="E47" s="309"/>
      <c r="F47" s="309"/>
      <c r="G47" s="309"/>
      <c r="H47" s="309"/>
      <c r="I47" s="309"/>
      <c r="J47" s="309"/>
      <c r="K47" s="310"/>
      <c r="L47" s="99"/>
      <c r="M47" s="99"/>
      <c r="N47" s="99"/>
      <c r="O47" s="99"/>
      <c r="P47" s="99"/>
      <c r="Q47" s="99"/>
      <c r="R47" s="99"/>
      <c r="S47" s="99"/>
      <c r="T47" s="99"/>
      <c r="U47" s="99"/>
      <c r="V47" s="99"/>
      <c r="W47" s="99"/>
      <c r="X47" s="99"/>
      <c r="Y47" s="99"/>
    </row>
    <row r="48" spans="1:25">
      <c r="A48" s="99"/>
      <c r="B48" s="308"/>
      <c r="C48" s="309"/>
      <c r="D48" s="309"/>
      <c r="E48" s="309"/>
      <c r="F48" s="309"/>
      <c r="G48" s="309"/>
      <c r="H48" s="309"/>
      <c r="I48" s="309"/>
      <c r="J48" s="309"/>
      <c r="K48" s="310"/>
      <c r="L48" s="99"/>
      <c r="M48" s="99"/>
      <c r="N48" s="99"/>
      <c r="O48" s="99"/>
      <c r="P48" s="99"/>
      <c r="Q48" s="99"/>
      <c r="R48" s="99"/>
      <c r="S48" s="99"/>
      <c r="T48" s="99"/>
      <c r="U48" s="99"/>
      <c r="V48" s="99"/>
      <c r="W48" s="99"/>
      <c r="X48" s="99"/>
      <c r="Y48" s="99"/>
    </row>
    <row r="49" spans="1:25">
      <c r="A49" s="99"/>
      <c r="B49" s="308"/>
      <c r="C49" s="309"/>
      <c r="D49" s="309"/>
      <c r="E49" s="309"/>
      <c r="F49" s="309"/>
      <c r="G49" s="309"/>
      <c r="H49" s="309"/>
      <c r="I49" s="309"/>
      <c r="J49" s="309"/>
      <c r="K49" s="310"/>
      <c r="L49" s="99"/>
      <c r="M49" s="99"/>
      <c r="N49" s="99"/>
      <c r="O49" s="99"/>
      <c r="P49" s="99"/>
      <c r="Q49" s="99"/>
      <c r="R49" s="99"/>
      <c r="S49" s="99"/>
      <c r="T49" s="99"/>
      <c r="U49" s="99"/>
      <c r="V49" s="99"/>
      <c r="W49" s="99"/>
      <c r="X49" s="99"/>
      <c r="Y49" s="99"/>
    </row>
    <row r="50" spans="1:25">
      <c r="A50" s="99"/>
      <c r="B50" s="308"/>
      <c r="C50" s="309"/>
      <c r="D50" s="309"/>
      <c r="E50" s="309"/>
      <c r="F50" s="309"/>
      <c r="G50" s="309"/>
      <c r="H50" s="309"/>
      <c r="I50" s="309"/>
      <c r="J50" s="309"/>
      <c r="K50" s="310"/>
      <c r="L50" s="99"/>
      <c r="M50" s="99"/>
      <c r="N50" s="99"/>
      <c r="O50" s="99"/>
      <c r="P50" s="99"/>
      <c r="Q50" s="99"/>
      <c r="R50" s="99"/>
      <c r="S50" s="99"/>
      <c r="T50" s="99"/>
      <c r="U50" s="99"/>
      <c r="V50" s="99"/>
      <c r="W50" s="99"/>
      <c r="X50" s="99"/>
      <c r="Y50" s="99"/>
    </row>
    <row r="51" spans="1:25">
      <c r="A51" s="99"/>
      <c r="B51" s="308"/>
      <c r="C51" s="309"/>
      <c r="D51" s="309"/>
      <c r="E51" s="309"/>
      <c r="F51" s="309"/>
      <c r="G51" s="309"/>
      <c r="H51" s="309"/>
      <c r="I51" s="309"/>
      <c r="J51" s="309"/>
      <c r="K51" s="310"/>
      <c r="L51" s="99"/>
      <c r="M51" s="99"/>
      <c r="N51" s="99"/>
      <c r="O51" s="99"/>
      <c r="P51" s="99"/>
      <c r="Q51" s="99"/>
      <c r="R51" s="99"/>
      <c r="S51" s="99"/>
      <c r="T51" s="99"/>
      <c r="U51" s="99"/>
      <c r="V51" s="99"/>
      <c r="W51" s="99"/>
      <c r="X51" s="99"/>
      <c r="Y51" s="99"/>
    </row>
    <row r="52" spans="1:25" ht="15.5">
      <c r="A52" s="99"/>
      <c r="B52" s="308"/>
      <c r="C52" s="313"/>
      <c r="D52" s="309"/>
      <c r="E52" s="309"/>
      <c r="F52" s="309"/>
      <c r="G52" s="309"/>
      <c r="H52" s="309"/>
      <c r="I52" s="309"/>
      <c r="J52" s="309"/>
      <c r="K52" s="310"/>
      <c r="L52" s="99"/>
      <c r="M52" s="99"/>
      <c r="N52" s="99"/>
      <c r="O52" s="99"/>
      <c r="P52" s="99"/>
      <c r="Q52" s="99"/>
      <c r="R52" s="99"/>
      <c r="S52" s="99"/>
      <c r="T52" s="99"/>
      <c r="U52" s="99"/>
      <c r="V52" s="99"/>
      <c r="W52" s="99"/>
      <c r="X52" s="99"/>
      <c r="Y52" s="99"/>
    </row>
    <row r="53" spans="1:25">
      <c r="A53" s="99"/>
      <c r="B53" s="308"/>
      <c r="C53" s="309"/>
      <c r="D53" s="309"/>
      <c r="E53" s="309"/>
      <c r="F53" s="309"/>
      <c r="G53" s="309"/>
      <c r="H53" s="309"/>
      <c r="I53" s="309"/>
      <c r="J53" s="309"/>
      <c r="K53" s="310"/>
      <c r="L53" s="99"/>
      <c r="M53" s="99"/>
      <c r="N53" s="99"/>
      <c r="O53" s="99"/>
      <c r="P53" s="99"/>
      <c r="Q53" s="99"/>
      <c r="R53" s="99"/>
      <c r="S53" s="99"/>
      <c r="T53" s="99"/>
      <c r="U53" s="99"/>
      <c r="V53" s="99"/>
      <c r="W53" s="99"/>
      <c r="X53" s="99"/>
      <c r="Y53" s="99"/>
    </row>
    <row r="54" spans="1:25">
      <c r="A54" s="99"/>
      <c r="B54" s="308"/>
      <c r="C54" s="314"/>
      <c r="D54" s="100"/>
      <c r="E54" s="309"/>
      <c r="F54" s="314"/>
      <c r="G54" s="101"/>
      <c r="H54" s="315"/>
      <c r="I54" s="102"/>
      <c r="J54" s="309"/>
      <c r="K54" s="310"/>
      <c r="L54" s="99"/>
      <c r="M54" s="99"/>
      <c r="N54" s="99"/>
      <c r="O54" s="99"/>
      <c r="P54" s="99"/>
      <c r="Q54" s="99"/>
      <c r="R54" s="99"/>
      <c r="S54" s="99"/>
      <c r="T54" s="99"/>
      <c r="U54" s="99"/>
      <c r="V54" s="99"/>
      <c r="W54" s="99"/>
      <c r="X54" s="99"/>
      <c r="Y54" s="99"/>
    </row>
    <row r="55" spans="1:25">
      <c r="A55" s="99"/>
      <c r="B55" s="308"/>
      <c r="C55" s="314"/>
      <c r="D55" s="102"/>
      <c r="E55" s="309"/>
      <c r="F55" s="314"/>
      <c r="G55" s="101"/>
      <c r="H55" s="315"/>
      <c r="I55" s="102"/>
      <c r="J55" s="309"/>
      <c r="K55" s="310"/>
      <c r="L55" s="99"/>
      <c r="M55" s="99"/>
      <c r="N55" s="99"/>
      <c r="O55" s="99"/>
      <c r="P55" s="99"/>
      <c r="Q55" s="99"/>
      <c r="R55" s="99"/>
      <c r="S55" s="99"/>
      <c r="T55" s="99"/>
      <c r="U55" s="99"/>
      <c r="V55" s="99"/>
      <c r="W55" s="99"/>
      <c r="X55" s="99"/>
      <c r="Y55" s="99"/>
    </row>
    <row r="56" spans="1:25" ht="13" thickBot="1">
      <c r="A56" s="99"/>
      <c r="B56" s="316"/>
      <c r="C56" s="317"/>
      <c r="D56" s="317"/>
      <c r="E56" s="317"/>
      <c r="F56" s="317"/>
      <c r="G56" s="317"/>
      <c r="H56" s="317"/>
      <c r="I56" s="317"/>
      <c r="J56" s="317"/>
      <c r="K56" s="318"/>
      <c r="L56" s="99"/>
      <c r="M56" s="99"/>
      <c r="N56" s="99"/>
      <c r="O56" s="99"/>
      <c r="P56" s="99"/>
      <c r="Q56" s="99"/>
      <c r="R56" s="99"/>
      <c r="S56" s="99"/>
      <c r="T56" s="99"/>
      <c r="U56" s="99"/>
      <c r="V56" s="99"/>
      <c r="W56" s="99"/>
      <c r="X56" s="99"/>
      <c r="Y56" s="99"/>
    </row>
    <row r="57" spans="1:25">
      <c r="A57" s="99"/>
      <c r="B57" s="99"/>
      <c r="C57" s="99"/>
      <c r="D57" s="99"/>
      <c r="E57" s="99"/>
      <c r="F57" s="99"/>
      <c r="G57" s="99"/>
      <c r="H57" s="99"/>
      <c r="I57" s="99"/>
      <c r="J57" s="99"/>
      <c r="K57" s="99"/>
      <c r="L57" s="99"/>
      <c r="M57" s="99"/>
      <c r="N57" s="99"/>
      <c r="O57" s="99"/>
      <c r="P57" s="99"/>
      <c r="Q57" s="99"/>
      <c r="R57" s="99"/>
      <c r="S57" s="99"/>
      <c r="T57" s="99"/>
      <c r="U57" s="99"/>
      <c r="V57" s="99"/>
      <c r="W57" s="99"/>
      <c r="X57" s="99"/>
      <c r="Y57" s="99"/>
    </row>
    <row r="58" spans="1:25">
      <c r="A58" s="99"/>
      <c r="B58" s="42" t="s">
        <v>222</v>
      </c>
      <c r="D58" s="99"/>
      <c r="F58" s="2"/>
      <c r="G58" s="52" t="s">
        <v>226</v>
      </c>
      <c r="H58" s="99"/>
      <c r="I58" s="99"/>
      <c r="J58" s="99"/>
      <c r="K58" s="125" t="s">
        <v>335</v>
      </c>
      <c r="L58" s="99"/>
      <c r="M58" s="99"/>
      <c r="N58" s="99"/>
      <c r="O58" s="99"/>
      <c r="P58" s="99"/>
      <c r="Q58" s="99"/>
      <c r="R58" s="99"/>
      <c r="S58" s="99"/>
      <c r="T58" s="99"/>
      <c r="U58" s="99"/>
      <c r="V58" s="99"/>
      <c r="W58" s="99"/>
      <c r="X58" s="99"/>
      <c r="Y58" s="99"/>
    </row>
    <row r="59" spans="1:25">
      <c r="A59" s="99"/>
      <c r="B59" s="99"/>
      <c r="C59" s="99"/>
      <c r="D59" s="99"/>
      <c r="E59" s="99"/>
      <c r="F59" s="99"/>
      <c r="G59" s="99"/>
      <c r="H59" s="99"/>
      <c r="I59" s="99"/>
      <c r="K59" s="350" t="s">
        <v>337</v>
      </c>
      <c r="L59" s="99"/>
      <c r="M59" s="99"/>
      <c r="N59" s="99"/>
      <c r="O59" s="99"/>
      <c r="P59" s="99"/>
      <c r="Q59" s="99"/>
      <c r="R59" s="99"/>
      <c r="S59" s="99"/>
      <c r="T59" s="99"/>
      <c r="U59" s="99"/>
      <c r="V59" s="99"/>
      <c r="W59" s="99"/>
      <c r="X59" s="99"/>
      <c r="Y59" s="99"/>
    </row>
    <row r="60" spans="1:25">
      <c r="A60" s="99"/>
      <c r="B60" s="99"/>
      <c r="C60" s="99"/>
      <c r="D60" s="99"/>
      <c r="E60" s="99"/>
      <c r="F60" s="99"/>
      <c r="G60" s="99"/>
      <c r="H60" s="99"/>
      <c r="I60" s="99"/>
      <c r="J60" s="99"/>
      <c r="K60" s="125" t="s">
        <v>336</v>
      </c>
      <c r="L60" s="99"/>
      <c r="M60" s="99"/>
      <c r="N60" s="99"/>
      <c r="O60" s="99"/>
      <c r="P60" s="99"/>
      <c r="Q60" s="99"/>
      <c r="R60" s="99"/>
      <c r="S60" s="99"/>
      <c r="T60" s="99"/>
      <c r="U60" s="99"/>
      <c r="V60" s="99"/>
      <c r="W60" s="99"/>
      <c r="X60" s="99"/>
      <c r="Y60" s="99"/>
    </row>
    <row r="61" spans="1:25">
      <c r="A61" s="99"/>
      <c r="B61" s="99"/>
      <c r="C61" s="99"/>
      <c r="D61" s="99"/>
      <c r="E61" s="99"/>
      <c r="F61" s="99"/>
      <c r="G61" s="99"/>
      <c r="H61" s="99"/>
      <c r="I61" s="99"/>
      <c r="J61" s="99"/>
      <c r="K61" s="99"/>
      <c r="L61" s="99"/>
      <c r="M61" s="99"/>
      <c r="N61" s="99"/>
      <c r="O61" s="99"/>
      <c r="P61" s="99"/>
      <c r="Q61" s="99"/>
      <c r="R61" s="99"/>
      <c r="S61" s="99"/>
      <c r="T61" s="99"/>
      <c r="U61" s="99"/>
      <c r="V61" s="99"/>
      <c r="W61" s="99"/>
      <c r="X61" s="99"/>
      <c r="Y61" s="99"/>
    </row>
    <row r="62" spans="1:25">
      <c r="A62" s="99"/>
      <c r="B62" s="99"/>
      <c r="C62" s="99"/>
      <c r="D62" s="99"/>
      <c r="E62" s="99"/>
      <c r="F62" s="99"/>
      <c r="G62" s="99"/>
      <c r="H62" s="99"/>
      <c r="I62" s="99"/>
      <c r="J62" s="99"/>
      <c r="K62" s="99"/>
      <c r="L62" s="99"/>
      <c r="M62" s="99"/>
      <c r="N62" s="99"/>
      <c r="O62" s="99"/>
      <c r="P62" s="99"/>
      <c r="Q62" s="99"/>
      <c r="R62" s="99"/>
      <c r="S62" s="99"/>
      <c r="T62" s="99"/>
      <c r="U62" s="99"/>
      <c r="V62" s="99"/>
      <c r="W62" s="99"/>
      <c r="X62" s="99"/>
      <c r="Y62" s="99"/>
    </row>
    <row r="63" spans="1:25">
      <c r="A63" s="99"/>
      <c r="B63" s="99"/>
      <c r="C63" s="99"/>
      <c r="D63" s="99"/>
      <c r="E63" s="99"/>
      <c r="F63" s="99"/>
      <c r="G63" s="99"/>
      <c r="H63" s="99"/>
      <c r="I63" s="99"/>
      <c r="J63" s="99"/>
      <c r="K63" s="99"/>
      <c r="L63" s="99"/>
      <c r="M63" s="99"/>
      <c r="N63" s="99"/>
      <c r="O63" s="99"/>
      <c r="P63" s="99"/>
      <c r="Q63" s="99"/>
      <c r="R63" s="99"/>
      <c r="S63" s="99"/>
      <c r="T63" s="99"/>
      <c r="U63" s="99"/>
      <c r="V63" s="99"/>
      <c r="W63" s="99"/>
      <c r="X63" s="99"/>
      <c r="Y63" s="99"/>
    </row>
    <row r="64" spans="1:25">
      <c r="A64" s="99"/>
      <c r="B64" s="99"/>
      <c r="C64" s="99"/>
      <c r="D64" s="99"/>
      <c r="E64" s="99"/>
      <c r="F64" s="99"/>
      <c r="G64" s="99"/>
      <c r="H64" s="99"/>
      <c r="I64" s="99"/>
      <c r="J64" s="99"/>
      <c r="K64" s="99"/>
      <c r="L64" s="99"/>
      <c r="M64" s="99"/>
      <c r="N64" s="99"/>
      <c r="O64" s="99"/>
      <c r="P64" s="99"/>
      <c r="Q64" s="99"/>
      <c r="R64" s="99"/>
      <c r="S64" s="99"/>
      <c r="T64" s="99"/>
      <c r="U64" s="99"/>
      <c r="V64" s="99"/>
      <c r="W64" s="99"/>
      <c r="X64" s="99"/>
      <c r="Y64" s="99"/>
    </row>
    <row r="65" spans="1:25">
      <c r="A65" s="99"/>
      <c r="B65" s="99"/>
      <c r="C65" s="99"/>
      <c r="D65" s="99"/>
      <c r="E65" s="99"/>
      <c r="F65" s="99"/>
      <c r="G65" s="99"/>
      <c r="H65" s="99"/>
      <c r="I65" s="99"/>
      <c r="J65" s="99"/>
      <c r="K65" s="99"/>
      <c r="L65" s="99"/>
      <c r="M65" s="99"/>
      <c r="N65" s="99"/>
      <c r="O65" s="99"/>
      <c r="P65" s="99"/>
      <c r="Q65" s="99"/>
      <c r="R65" s="99"/>
      <c r="S65" s="99"/>
      <c r="T65" s="99"/>
      <c r="U65" s="99"/>
      <c r="V65" s="99"/>
      <c r="W65" s="99"/>
      <c r="X65" s="99"/>
      <c r="Y65" s="99"/>
    </row>
    <row r="66" spans="1:25">
      <c r="A66" s="99"/>
      <c r="B66" s="99"/>
      <c r="C66" s="99"/>
      <c r="D66" s="99"/>
      <c r="E66" s="99"/>
      <c r="F66" s="99"/>
      <c r="G66" s="99"/>
      <c r="H66" s="99"/>
      <c r="I66" s="99"/>
      <c r="J66" s="99"/>
      <c r="K66" s="99"/>
      <c r="L66" s="99"/>
      <c r="M66" s="99"/>
      <c r="N66" s="99"/>
      <c r="O66" s="99"/>
      <c r="P66" s="99"/>
      <c r="Q66" s="99"/>
      <c r="R66" s="99"/>
      <c r="S66" s="99"/>
      <c r="T66" s="99"/>
      <c r="U66" s="99"/>
      <c r="V66" s="99"/>
      <c r="W66" s="99"/>
      <c r="X66" s="99"/>
      <c r="Y66" s="99"/>
    </row>
    <row r="67" spans="1:25">
      <c r="A67" s="99"/>
      <c r="B67" s="99"/>
      <c r="C67" s="99"/>
      <c r="D67" s="99"/>
      <c r="E67" s="99"/>
      <c r="F67" s="99"/>
      <c r="G67" s="99"/>
      <c r="H67" s="99"/>
      <c r="I67" s="99"/>
      <c r="J67" s="99"/>
      <c r="K67" s="99"/>
      <c r="L67" s="99"/>
      <c r="M67" s="99"/>
      <c r="N67" s="99"/>
      <c r="O67" s="99"/>
      <c r="P67" s="99"/>
      <c r="Q67" s="99"/>
      <c r="R67" s="99"/>
      <c r="S67" s="99"/>
      <c r="T67" s="99"/>
      <c r="U67" s="99"/>
      <c r="V67" s="99"/>
      <c r="W67" s="99"/>
      <c r="X67" s="99"/>
      <c r="Y67" s="99"/>
    </row>
  </sheetData>
  <sheetProtection algorithmName="SHA-512" hashValue="nCxfYG73xPbNaqwTNv3yTX1uex5/7xJmYUyIuk1tFAkJ/FGmzjoqs7ZcrfcAYz2daPmHzowksin0Cgl5gnjpBg==" saltValue="yMMSJhSulfGnY1Wktf7QLw==" spinCount="100000" sheet="1" objects="1" scenarios="1"/>
  <mergeCells count="2">
    <mergeCell ref="C37:J37"/>
    <mergeCell ref="C38:J38"/>
  </mergeCells>
  <hyperlinks>
    <hyperlink ref="B58" location="'Max Volumen'!A1" display="zurück" xr:uid="{2E84EA89-3A3F-494E-8B7F-0E2E47F35ED8}"/>
    <hyperlink ref="G58" location="'Eingabe Käuferdaten'!A1" display="Menü" xr:uid="{C6995A13-3E0D-44F6-88EA-243E0E5DA830}"/>
    <hyperlink ref="K58" location="Bilanz!A1" display="weiter Bilanz" xr:uid="{6DA3CBDA-88E6-4B48-B25A-710C0D82937A}"/>
    <hyperlink ref="K60" location="'Bilanz Diagramm'!A1" display="weiter Bilanz Diagramm" xr:uid="{0E07DB51-3294-492E-8DE9-42ABAD1C5BB1}"/>
  </hyperlinks>
  <printOptions horizontalCentered="1"/>
  <pageMargins left="0.59055118110236227" right="0.59055118110236227" top="0.78740157480314965" bottom="0.78740157480314965" header="0.31496062992125984" footer="0.31496062992125984"/>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52838-BB43-4016-AFFC-C874BC4F4D5E}">
  <sheetPr codeName="Tabelle9">
    <tabColor rgb="FF92D050"/>
    <pageSetUpPr fitToPage="1"/>
  </sheetPr>
  <dimension ref="A1:AC141"/>
  <sheetViews>
    <sheetView zoomScaleNormal="100" workbookViewId="0">
      <selection activeCell="J37" sqref="J37"/>
    </sheetView>
  </sheetViews>
  <sheetFormatPr baseColWidth="10" defaultColWidth="10.7265625" defaultRowHeight="12.5"/>
  <cols>
    <col min="1" max="1" width="5.54296875" customWidth="1"/>
    <col min="2" max="2" width="27.453125" customWidth="1"/>
    <col min="3" max="3" width="14.26953125" customWidth="1"/>
    <col min="4" max="4" width="5.54296875" bestFit="1" customWidth="1"/>
    <col min="5" max="5" width="24.54296875" bestFit="1" customWidth="1"/>
    <col min="6" max="6" width="18.81640625" customWidth="1"/>
    <col min="7" max="7" width="11.453125" customWidth="1"/>
    <col min="8" max="8" width="28.1796875" bestFit="1" customWidth="1"/>
    <col min="9" max="9" width="10.7265625" customWidth="1"/>
    <col min="10" max="10" width="32.7265625" customWidth="1"/>
    <col min="11" max="11" width="5.26953125" customWidth="1"/>
    <col min="12" max="12" width="19.1796875" style="94" bestFit="1" customWidth="1"/>
    <col min="15" max="15" width="19.1796875" bestFit="1" customWidth="1"/>
  </cols>
  <sheetData>
    <row r="1" spans="1:29">
      <c r="A1" s="99"/>
      <c r="B1" s="99"/>
      <c r="C1" s="99"/>
      <c r="D1" s="99"/>
      <c r="E1" s="99"/>
      <c r="F1" s="99"/>
      <c r="G1" s="99"/>
      <c r="H1" s="99"/>
      <c r="I1" s="99"/>
      <c r="J1" s="99"/>
      <c r="K1" s="126"/>
      <c r="M1" s="94"/>
      <c r="N1" s="94"/>
      <c r="O1" s="94"/>
      <c r="P1" s="94"/>
      <c r="Q1" s="94"/>
      <c r="R1" s="94"/>
      <c r="S1" s="94"/>
      <c r="T1" s="94"/>
      <c r="U1" s="94"/>
      <c r="V1" s="126"/>
      <c r="W1" s="126"/>
      <c r="X1" s="126"/>
      <c r="Y1" s="126"/>
      <c r="Z1" s="99"/>
    </row>
    <row r="2" spans="1:29" ht="15.5">
      <c r="A2" s="99"/>
      <c r="B2" s="161" t="s">
        <v>290</v>
      </c>
      <c r="C2" s="99"/>
      <c r="D2" s="99"/>
      <c r="E2" s="188" t="s">
        <v>170</v>
      </c>
      <c r="F2" s="190">
        <f>'Eingabe Immodaten'!C5</f>
        <v>250122</v>
      </c>
      <c r="H2" s="161" t="s">
        <v>291</v>
      </c>
      <c r="I2" s="423">
        <v>10</v>
      </c>
      <c r="J2" s="99"/>
      <c r="K2" s="126"/>
      <c r="M2" s="94"/>
      <c r="N2" s="94"/>
      <c r="O2" s="94"/>
      <c r="P2" s="94"/>
      <c r="Q2" s="94"/>
      <c r="R2" s="94"/>
      <c r="S2" s="94"/>
      <c r="T2" s="94"/>
      <c r="U2" s="94"/>
      <c r="V2" s="126"/>
      <c r="W2" s="126"/>
      <c r="X2" s="126"/>
      <c r="Y2" s="126"/>
      <c r="Z2" s="115"/>
      <c r="AA2" s="79"/>
      <c r="AB2" s="79"/>
      <c r="AC2" s="79"/>
    </row>
    <row r="3" spans="1:29" ht="13" thickBot="1">
      <c r="A3" s="99"/>
      <c r="B3" s="99"/>
      <c r="C3" s="99"/>
      <c r="D3" s="99"/>
      <c r="E3" s="99"/>
      <c r="F3" s="99"/>
      <c r="G3" s="126"/>
      <c r="I3" s="126"/>
      <c r="J3" s="126"/>
      <c r="K3" s="126"/>
      <c r="M3" s="94"/>
      <c r="N3" s="94"/>
      <c r="O3" s="94"/>
      <c r="P3" s="94"/>
      <c r="Q3" s="94"/>
      <c r="R3" s="94"/>
      <c r="S3" s="94"/>
      <c r="T3" s="94"/>
      <c r="U3" s="94"/>
      <c r="V3" s="126"/>
      <c r="W3" s="126"/>
      <c r="X3" s="126"/>
      <c r="Y3" s="126"/>
      <c r="Z3" s="115"/>
      <c r="AA3" s="79"/>
      <c r="AB3" s="79"/>
      <c r="AC3" s="79"/>
    </row>
    <row r="4" spans="1:29" ht="16" thickBot="1">
      <c r="A4" s="99"/>
      <c r="B4" s="53" t="s">
        <v>164</v>
      </c>
      <c r="C4" s="89"/>
      <c r="D4" s="90"/>
      <c r="E4" s="56" t="s">
        <v>165</v>
      </c>
      <c r="F4" s="91"/>
      <c r="G4" s="126"/>
      <c r="H4" s="99"/>
      <c r="I4" s="126"/>
      <c r="J4" s="126"/>
      <c r="K4" s="126"/>
      <c r="L4" s="94" t="s">
        <v>77</v>
      </c>
      <c r="M4" s="129">
        <f>F12</f>
        <v>1434.5505021206907</v>
      </c>
      <c r="N4" s="94"/>
      <c r="O4" s="94"/>
      <c r="P4" s="94"/>
      <c r="Q4" s="94"/>
      <c r="R4" s="94"/>
      <c r="S4" s="94"/>
      <c r="T4" s="94"/>
      <c r="U4" s="94"/>
      <c r="V4" s="126"/>
      <c r="W4" s="126"/>
      <c r="X4" s="126"/>
      <c r="Y4" s="126"/>
      <c r="Z4" s="115"/>
      <c r="AA4" s="79"/>
      <c r="AB4" s="79"/>
      <c r="AC4" s="79"/>
    </row>
    <row r="5" spans="1:29" ht="15.5">
      <c r="A5" s="99"/>
      <c r="B5" s="144"/>
      <c r="C5" s="124"/>
      <c r="D5" s="124"/>
      <c r="E5" s="124"/>
      <c r="F5" s="149"/>
      <c r="G5" s="126"/>
      <c r="I5" s="126"/>
      <c r="K5" s="126"/>
      <c r="L5" s="94" t="s">
        <v>50</v>
      </c>
      <c r="M5" s="129">
        <f>C6</f>
        <v>1239.5345246377826</v>
      </c>
      <c r="N5" s="94"/>
      <c r="O5" s="94"/>
      <c r="P5" s="94"/>
      <c r="Q5" s="94"/>
      <c r="R5" s="94"/>
      <c r="S5" s="94"/>
      <c r="T5" s="94"/>
      <c r="U5" s="94"/>
      <c r="V5" s="126"/>
      <c r="W5" s="126"/>
      <c r="X5" s="126"/>
      <c r="Y5" s="126"/>
      <c r="Z5" s="115"/>
      <c r="AA5" s="79"/>
      <c r="AB5" s="79"/>
      <c r="AC5" s="79"/>
    </row>
    <row r="6" spans="1:29" ht="15.5">
      <c r="A6" s="99"/>
      <c r="B6" s="424" t="s">
        <v>50</v>
      </c>
      <c r="C6" s="18">
        <f>_xlfn.XLOOKUP(I2,Ergebnistabelle!B7:B56,Ergebnistabelle!D7:D56)/12</f>
        <v>1239.5345246377826</v>
      </c>
      <c r="D6" s="133"/>
      <c r="E6" s="133" t="s">
        <v>52</v>
      </c>
      <c r="F6" s="425" cm="1">
        <f t="array" ref="F6">_xlfn.XLOOKUP(I2,Ergebnistabelle!B7:B56,Ergebnistabelle!P7:P56+Ergebnistabelle!S7:S56)/12</f>
        <v>704.22165051557874</v>
      </c>
      <c r="G6" s="126"/>
      <c r="H6" s="99"/>
      <c r="J6" s="126"/>
      <c r="K6" s="126"/>
      <c r="L6" s="94" t="str">
        <f>B8</f>
        <v>Steuerentlastung</v>
      </c>
      <c r="M6" s="129">
        <f>ABS(C8)</f>
        <v>83.259726419410057</v>
      </c>
      <c r="N6" s="94"/>
      <c r="O6" s="94"/>
      <c r="P6" s="94"/>
      <c r="Q6" s="94"/>
      <c r="R6" s="94"/>
      <c r="S6" s="94"/>
      <c r="T6" s="94"/>
      <c r="U6" s="94"/>
      <c r="V6" s="126"/>
      <c r="W6" s="126"/>
      <c r="X6" s="126"/>
      <c r="Y6" s="126"/>
      <c r="Z6" s="115"/>
      <c r="AA6" s="79"/>
      <c r="AB6" s="79"/>
      <c r="AC6" s="79"/>
    </row>
    <row r="7" spans="1:29" ht="15.5">
      <c r="A7" s="99"/>
      <c r="B7" s="424"/>
      <c r="C7" s="133"/>
      <c r="D7" s="133"/>
      <c r="E7" s="133"/>
      <c r="F7" s="426"/>
      <c r="G7" s="126"/>
      <c r="H7" s="126"/>
      <c r="I7" s="126"/>
      <c r="J7" s="126"/>
      <c r="K7" s="126"/>
      <c r="L7" s="94" t="s">
        <v>72</v>
      </c>
      <c r="M7" s="129">
        <f>F12</f>
        <v>1434.5505021206907</v>
      </c>
      <c r="N7" s="94"/>
      <c r="O7" s="94"/>
      <c r="P7" s="94"/>
      <c r="Q7" s="94"/>
      <c r="R7" s="94"/>
      <c r="S7" s="94"/>
      <c r="T7" s="94"/>
      <c r="U7" s="94"/>
      <c r="V7" s="126"/>
      <c r="W7" s="126"/>
      <c r="X7" s="126"/>
      <c r="Y7" s="126"/>
      <c r="Z7" s="115"/>
      <c r="AA7" s="79"/>
      <c r="AB7" s="79"/>
      <c r="AC7" s="79"/>
    </row>
    <row r="8" spans="1:29" ht="15.5">
      <c r="A8" s="99"/>
      <c r="B8" s="424" t="str">
        <f>IF(C8&lt;0,"Steuerentlastung","Steuerzahlung")</f>
        <v>Steuerentlastung</v>
      </c>
      <c r="C8" s="18">
        <f>_xlfn.XLOOKUP(I2,Ergebnistabelle!B7:B56,Ergebnistabelle!AF7:AF56)/12</f>
        <v>-83.259726419410057</v>
      </c>
      <c r="D8" s="133"/>
      <c r="E8" s="133" t="s">
        <v>53</v>
      </c>
      <c r="F8" s="425" cm="1">
        <f t="array" ref="F8">_xlfn.XLOOKUP(I2,Ergebnistabelle!B7:B56,Ergebnistabelle!Q7:Q56+Ergebnistabelle!T7:T56)/12</f>
        <v>608.918849484421</v>
      </c>
      <c r="G8" s="126"/>
      <c r="H8" s="126"/>
      <c r="I8" s="126"/>
      <c r="J8" s="126"/>
      <c r="K8" s="126"/>
      <c r="L8" s="94" t="str">
        <f>B15</f>
        <v>Monatliche Zuzahlung</v>
      </c>
      <c r="M8" s="129">
        <f>ABS(F15)</f>
        <v>111.75625106349798</v>
      </c>
      <c r="N8" s="94"/>
      <c r="O8" s="94"/>
      <c r="P8" s="94"/>
      <c r="Q8" s="94"/>
      <c r="R8" s="94"/>
      <c r="S8" s="94"/>
      <c r="T8" s="94"/>
      <c r="U8" s="94"/>
      <c r="V8" s="126"/>
      <c r="W8" s="126"/>
      <c r="X8" s="126"/>
      <c r="Y8" s="126"/>
      <c r="Z8" s="115"/>
      <c r="AA8" s="79"/>
      <c r="AB8" s="79"/>
      <c r="AC8" s="79"/>
    </row>
    <row r="9" spans="1:29" ht="15.5">
      <c r="A9" s="99"/>
      <c r="B9" s="424"/>
      <c r="C9" s="133"/>
      <c r="D9" s="133"/>
      <c r="E9" s="133"/>
      <c r="F9" s="426"/>
      <c r="G9" s="126"/>
      <c r="H9" s="126"/>
      <c r="I9" s="126"/>
      <c r="J9" s="126"/>
      <c r="K9" s="126"/>
      <c r="M9" s="94"/>
      <c r="N9" s="94"/>
      <c r="O9" s="94"/>
      <c r="P9" s="94"/>
      <c r="Q9" s="94"/>
      <c r="R9" s="94"/>
      <c r="S9" s="94"/>
      <c r="T9" s="94"/>
      <c r="U9" s="94"/>
      <c r="V9" s="126"/>
      <c r="W9" s="126"/>
      <c r="X9" s="126"/>
      <c r="Y9" s="126"/>
      <c r="Z9" s="115"/>
      <c r="AA9" s="79"/>
      <c r="AB9" s="79"/>
      <c r="AC9" s="79"/>
    </row>
    <row r="10" spans="1:29" ht="15.5">
      <c r="A10" s="99"/>
      <c r="B10" s="424"/>
      <c r="C10" s="133"/>
      <c r="D10" s="133"/>
      <c r="E10" s="133" t="s">
        <v>166</v>
      </c>
      <c r="F10" s="425">
        <f>_xlfn.XLOOKUP(I2,Ergebnistabelle!B7:B56,Ergebnistabelle!F7:F56)/12</f>
        <v>121.41000212069093</v>
      </c>
      <c r="G10" s="126"/>
      <c r="H10" s="126"/>
      <c r="I10" s="126"/>
      <c r="J10" s="126"/>
      <c r="K10" s="126"/>
      <c r="M10" s="94"/>
      <c r="N10" s="94"/>
      <c r="O10" s="94"/>
      <c r="P10" s="94"/>
      <c r="Q10" s="94"/>
      <c r="R10" s="94"/>
      <c r="S10" s="94"/>
      <c r="T10" s="94"/>
      <c r="U10" s="94"/>
      <c r="V10" s="126"/>
      <c r="W10" s="126"/>
      <c r="X10" s="126"/>
      <c r="Y10" s="126"/>
      <c r="Z10" s="115"/>
      <c r="AA10" s="79"/>
      <c r="AB10" s="79"/>
      <c r="AC10" s="79"/>
    </row>
    <row r="11" spans="1:29" ht="16" thickBot="1">
      <c r="A11" s="99"/>
      <c r="B11" s="424"/>
      <c r="C11" s="133"/>
      <c r="D11" s="133"/>
      <c r="E11" s="133"/>
      <c r="F11" s="426"/>
      <c r="G11" s="126"/>
      <c r="H11" s="126"/>
      <c r="I11" s="126"/>
      <c r="J11" s="126"/>
      <c r="K11" s="126"/>
      <c r="M11" s="94"/>
      <c r="N11" s="94"/>
      <c r="O11" s="94"/>
      <c r="P11" s="94"/>
      <c r="Q11" s="94"/>
      <c r="R11" s="94"/>
      <c r="S11" s="94"/>
      <c r="T11" s="94"/>
      <c r="U11" s="94"/>
      <c r="V11" s="126"/>
      <c r="W11" s="126"/>
      <c r="X11" s="126"/>
      <c r="Y11" s="126"/>
      <c r="Z11" s="115"/>
      <c r="AA11" s="79"/>
      <c r="AB11" s="79"/>
      <c r="AC11" s="79"/>
    </row>
    <row r="12" spans="1:29" ht="16" thickBot="1">
      <c r="A12" s="99"/>
      <c r="B12" s="53" t="s">
        <v>167</v>
      </c>
      <c r="C12" s="89">
        <f>C6-C8</f>
        <v>1322.7942510571927</v>
      </c>
      <c r="D12" s="90"/>
      <c r="E12" s="56" t="s">
        <v>168</v>
      </c>
      <c r="F12" s="91">
        <f>F6+F8+F10</f>
        <v>1434.5505021206907</v>
      </c>
      <c r="G12" s="126"/>
      <c r="H12" s="126"/>
      <c r="I12" s="126"/>
      <c r="J12" s="126"/>
      <c r="K12" s="126"/>
      <c r="M12" s="94"/>
      <c r="N12" s="94"/>
      <c r="O12" s="94"/>
      <c r="P12" s="94"/>
      <c r="Q12" s="94"/>
      <c r="R12" s="94"/>
      <c r="S12" s="94"/>
      <c r="T12" s="94"/>
      <c r="U12" s="94"/>
      <c r="V12" s="126"/>
      <c r="W12" s="126"/>
      <c r="X12" s="126"/>
      <c r="Y12" s="126"/>
      <c r="Z12" s="115"/>
      <c r="AA12" s="79"/>
      <c r="AB12" s="79"/>
      <c r="AC12" s="79"/>
    </row>
    <row r="13" spans="1:29" ht="15.5">
      <c r="A13" s="99"/>
      <c r="B13" s="144"/>
      <c r="C13" s="124"/>
      <c r="D13" s="124"/>
      <c r="E13" s="124"/>
      <c r="F13" s="149"/>
      <c r="G13" s="126"/>
      <c r="H13" s="126"/>
      <c r="I13" s="126"/>
      <c r="J13" s="126"/>
      <c r="K13" s="126"/>
      <c r="M13" s="94"/>
      <c r="N13" s="94"/>
      <c r="O13" s="129"/>
      <c r="P13" s="94"/>
      <c r="Q13" s="94"/>
      <c r="R13" s="94"/>
      <c r="S13" s="94"/>
      <c r="T13" s="94"/>
      <c r="U13" s="94"/>
      <c r="V13" s="126"/>
      <c r="W13" s="126"/>
      <c r="X13" s="126"/>
      <c r="Y13" s="126"/>
      <c r="Z13" s="115"/>
      <c r="AA13" s="79"/>
      <c r="AB13" s="79"/>
      <c r="AC13" s="79"/>
    </row>
    <row r="14" spans="1:29" ht="16" thickBot="1">
      <c r="A14" s="99"/>
      <c r="B14" s="144"/>
      <c r="C14" s="124"/>
      <c r="D14" s="124"/>
      <c r="E14" s="124"/>
      <c r="F14" s="149"/>
      <c r="G14" s="126"/>
      <c r="H14" s="126"/>
      <c r="I14" s="126"/>
      <c r="J14" s="126"/>
      <c r="K14" s="126"/>
      <c r="M14" s="94"/>
      <c r="N14" s="94"/>
      <c r="O14" s="94"/>
      <c r="P14" s="94"/>
      <c r="Q14" s="94"/>
      <c r="R14" s="94"/>
      <c r="S14" s="94"/>
      <c r="T14" s="94"/>
      <c r="U14" s="94"/>
      <c r="V14" s="126"/>
      <c r="W14" s="126"/>
      <c r="X14" s="126"/>
      <c r="Y14" s="126"/>
      <c r="Z14" s="115"/>
      <c r="AA14" s="79"/>
      <c r="AB14" s="79"/>
      <c r="AC14" s="79"/>
    </row>
    <row r="15" spans="1:29" ht="16" thickBot="1">
      <c r="A15" s="99"/>
      <c r="B15" s="53" t="str">
        <f>IF(F15&lt;0,"Monatliche Zuzahlung","Monatlicher Überschuss")</f>
        <v>Monatliche Zuzahlung</v>
      </c>
      <c r="C15" s="56"/>
      <c r="D15" s="56"/>
      <c r="E15" s="57"/>
      <c r="F15" s="88">
        <f>C12-F12</f>
        <v>-111.75625106349798</v>
      </c>
      <c r="G15" s="126"/>
      <c r="H15" s="126"/>
      <c r="I15" s="126"/>
      <c r="J15" s="126"/>
      <c r="K15" s="126"/>
      <c r="M15" s="94"/>
      <c r="N15" s="94"/>
      <c r="O15" s="94"/>
      <c r="P15" s="94"/>
      <c r="Q15" s="94"/>
      <c r="R15" s="94"/>
      <c r="S15" s="94"/>
      <c r="T15" s="94"/>
      <c r="U15" s="94"/>
      <c r="V15" s="126"/>
      <c r="W15" s="126"/>
      <c r="X15" s="126"/>
      <c r="Y15" s="126"/>
      <c r="Z15" s="115"/>
      <c r="AA15" s="79"/>
      <c r="AB15" s="79"/>
      <c r="AC15" s="79"/>
    </row>
    <row r="16" spans="1:29">
      <c r="A16" s="99"/>
      <c r="B16" s="99"/>
      <c r="C16" s="99"/>
      <c r="D16" s="99"/>
      <c r="E16" s="99"/>
      <c r="F16" s="99"/>
      <c r="G16" s="126"/>
      <c r="H16" s="126"/>
      <c r="I16" s="126"/>
      <c r="J16" s="126"/>
      <c r="K16" s="126"/>
      <c r="M16" s="94"/>
      <c r="N16" s="94"/>
      <c r="O16" s="94"/>
      <c r="P16" s="94"/>
      <c r="Q16" s="94"/>
      <c r="R16" s="94"/>
      <c r="S16" s="94"/>
      <c r="T16" s="94"/>
      <c r="U16" s="94"/>
      <c r="V16" s="126"/>
      <c r="W16" s="126"/>
      <c r="X16" s="126"/>
      <c r="Y16" s="126"/>
      <c r="Z16" s="115"/>
      <c r="AA16" s="79"/>
      <c r="AB16" s="79"/>
      <c r="AC16" s="79"/>
    </row>
    <row r="17" spans="1:29">
      <c r="A17" s="99"/>
      <c r="B17" s="99"/>
      <c r="C17" s="99"/>
      <c r="D17" s="99"/>
      <c r="E17" s="99"/>
      <c r="F17" s="99"/>
      <c r="G17" s="126"/>
      <c r="H17" s="126"/>
      <c r="I17" s="126"/>
      <c r="J17" s="126"/>
      <c r="K17" s="126"/>
      <c r="M17" s="94"/>
      <c r="N17" s="94"/>
      <c r="O17" s="94"/>
      <c r="P17" s="94"/>
      <c r="Q17" s="94"/>
      <c r="R17" s="94"/>
      <c r="S17" s="94"/>
      <c r="T17" s="94"/>
      <c r="U17" s="94"/>
      <c r="V17" s="126"/>
      <c r="W17" s="126"/>
      <c r="X17" s="126"/>
      <c r="Y17" s="126"/>
      <c r="Z17" s="115"/>
      <c r="AA17" s="79"/>
      <c r="AB17" s="79"/>
      <c r="AC17" s="79"/>
    </row>
    <row r="18" spans="1:29">
      <c r="A18" s="99"/>
      <c r="B18" s="99"/>
      <c r="C18" s="99"/>
      <c r="D18" s="111"/>
      <c r="E18" s="259"/>
      <c r="F18" s="351"/>
      <c r="G18" s="126"/>
      <c r="H18" s="125"/>
      <c r="I18" s="126"/>
      <c r="K18" s="126"/>
      <c r="M18" s="94"/>
      <c r="N18" s="94"/>
      <c r="O18" s="94"/>
      <c r="P18" s="94"/>
      <c r="Q18" s="94"/>
      <c r="R18" s="94"/>
      <c r="S18" s="94"/>
      <c r="T18" s="94"/>
      <c r="U18" s="94"/>
      <c r="V18" s="126"/>
      <c r="W18" s="126"/>
      <c r="X18" s="126"/>
      <c r="Y18" s="126"/>
      <c r="Z18" s="115"/>
      <c r="AA18" s="79"/>
      <c r="AB18" s="79"/>
      <c r="AC18" s="79"/>
    </row>
    <row r="19" spans="1:29">
      <c r="A19" s="99"/>
      <c r="B19" s="99"/>
      <c r="C19" s="99"/>
      <c r="D19" s="99"/>
      <c r="E19" s="99"/>
      <c r="F19" s="99"/>
      <c r="G19" s="126"/>
      <c r="H19" s="126"/>
      <c r="I19" s="126"/>
      <c r="J19" s="126"/>
      <c r="K19" s="126"/>
      <c r="M19" s="94"/>
      <c r="N19" s="94"/>
      <c r="O19" s="94"/>
      <c r="P19" s="94"/>
      <c r="Q19" s="94"/>
      <c r="R19" s="94"/>
      <c r="S19" s="94"/>
      <c r="T19" s="94"/>
      <c r="U19" s="94"/>
      <c r="V19" s="126"/>
      <c r="W19" s="126"/>
      <c r="X19" s="126"/>
      <c r="Y19" s="126"/>
      <c r="Z19" s="115"/>
      <c r="AA19" s="79"/>
      <c r="AB19" s="79"/>
      <c r="AC19" s="79"/>
    </row>
    <row r="20" spans="1:29" ht="15.5">
      <c r="A20" s="99"/>
      <c r="B20" s="161" t="s">
        <v>348</v>
      </c>
      <c r="C20" s="99"/>
      <c r="D20" s="99"/>
      <c r="E20" s="99"/>
      <c r="F20" s="99"/>
      <c r="G20" s="126"/>
      <c r="H20" s="126"/>
      <c r="I20" s="126"/>
      <c r="J20" s="126"/>
      <c r="K20" s="126"/>
      <c r="M20" s="94"/>
      <c r="N20" s="94"/>
      <c r="O20" s="94"/>
      <c r="P20" s="94"/>
      <c r="Q20" s="94"/>
      <c r="R20" s="94"/>
      <c r="S20" s="94"/>
      <c r="T20" s="94"/>
      <c r="U20" s="94"/>
      <c r="V20" s="126"/>
      <c r="W20" s="126"/>
      <c r="X20" s="126"/>
      <c r="Y20" s="126"/>
      <c r="Z20" s="115"/>
      <c r="AA20" s="79"/>
      <c r="AB20" s="79"/>
      <c r="AC20" s="79"/>
    </row>
    <row r="21" spans="1:29" ht="13" thickBot="1">
      <c r="A21" s="99"/>
      <c r="B21" s="99"/>
      <c r="C21" s="99"/>
      <c r="D21" s="99"/>
      <c r="E21" s="99"/>
      <c r="F21" s="99"/>
      <c r="G21" s="126"/>
      <c r="H21" s="126"/>
      <c r="I21" s="126"/>
      <c r="J21" s="126"/>
      <c r="K21" s="126"/>
      <c r="M21" s="94"/>
      <c r="N21" s="94"/>
      <c r="O21" s="94"/>
      <c r="P21" s="94"/>
      <c r="Q21" s="94"/>
      <c r="R21" s="94"/>
      <c r="S21" s="94"/>
      <c r="T21" s="94"/>
      <c r="U21" s="94"/>
      <c r="V21" s="126"/>
      <c r="W21" s="126"/>
      <c r="X21" s="126"/>
      <c r="Y21" s="126"/>
      <c r="Z21" s="115"/>
      <c r="AA21" s="79"/>
      <c r="AB21" s="79"/>
      <c r="AC21" s="79"/>
    </row>
    <row r="22" spans="1:29" ht="15.5">
      <c r="A22" s="99"/>
      <c r="B22" s="427" t="s">
        <v>169</v>
      </c>
      <c r="C22" s="428"/>
      <c r="D22" s="428"/>
      <c r="E22" s="428"/>
      <c r="F22" s="429">
        <f>_xlfn.XLOOKUP(I2,Ergebnistabelle!B7:B56,Ergebnistabelle!AN7:AN56)</f>
        <v>340424.77021890087</v>
      </c>
      <c r="G22" s="126"/>
      <c r="H22" s="126"/>
      <c r="I22" s="126"/>
      <c r="J22" s="126"/>
      <c r="K22" s="126"/>
      <c r="M22" s="94"/>
      <c r="N22" s="94"/>
      <c r="O22" s="94"/>
      <c r="P22" s="94"/>
      <c r="Q22" s="94"/>
      <c r="R22" s="94"/>
      <c r="S22" s="94"/>
      <c r="T22" s="94"/>
      <c r="U22" s="94"/>
      <c r="V22" s="126"/>
      <c r="W22" s="126"/>
      <c r="X22" s="126"/>
      <c r="Y22" s="126"/>
      <c r="Z22" s="115"/>
      <c r="AA22" s="79"/>
      <c r="AB22" s="79"/>
      <c r="AC22" s="79"/>
    </row>
    <row r="23" spans="1:29">
      <c r="A23" s="99"/>
      <c r="B23" s="430"/>
      <c r="C23" s="99"/>
      <c r="D23" s="99"/>
      <c r="E23" s="99"/>
      <c r="F23" s="431"/>
      <c r="G23" s="126"/>
      <c r="H23" s="126"/>
      <c r="I23" s="126"/>
      <c r="J23" s="126"/>
      <c r="K23" s="126"/>
      <c r="L23" s="94" t="s">
        <v>331</v>
      </c>
      <c r="M23" s="94" t="s">
        <v>245</v>
      </c>
      <c r="N23" s="94"/>
      <c r="O23" s="94"/>
      <c r="P23" s="94"/>
      <c r="Q23" s="94"/>
      <c r="R23" s="94"/>
      <c r="S23" s="94"/>
      <c r="T23" s="94"/>
      <c r="U23" s="94"/>
      <c r="V23" s="126"/>
      <c r="W23" s="126"/>
      <c r="X23" s="126"/>
      <c r="Y23" s="126"/>
      <c r="Z23" s="115"/>
      <c r="AA23" s="79"/>
      <c r="AB23" s="79"/>
      <c r="AC23" s="79"/>
    </row>
    <row r="24" spans="1:29" ht="15.5">
      <c r="A24" s="99"/>
      <c r="B24" s="432" t="s">
        <v>56</v>
      </c>
      <c r="C24" s="99"/>
      <c r="D24" s="99"/>
      <c r="E24" s="99"/>
      <c r="F24" s="433">
        <f>_xlfn.XLOOKUP(I2,Ergebnistabelle!B7:B56,Ergebnistabelle!W7:W56)</f>
        <v>189219.94604370292</v>
      </c>
      <c r="G24" s="126"/>
      <c r="H24" s="126"/>
      <c r="I24" s="126"/>
      <c r="J24" s="126"/>
      <c r="K24" s="126"/>
      <c r="L24" s="129">
        <f>F28+F30</f>
        <v>-38052.57009963756</v>
      </c>
      <c r="M24" s="129">
        <f>F26</f>
        <v>151204.82417519795</v>
      </c>
      <c r="N24" s="94"/>
      <c r="O24" s="94"/>
      <c r="P24" s="94"/>
      <c r="Q24" s="94"/>
      <c r="R24" s="94"/>
      <c r="S24" s="94"/>
      <c r="T24" s="94"/>
      <c r="U24" s="94"/>
      <c r="V24" s="126"/>
      <c r="W24" s="126"/>
      <c r="X24" s="126"/>
      <c r="Y24" s="126"/>
      <c r="Z24" s="115"/>
      <c r="AA24" s="79"/>
      <c r="AB24" s="79"/>
      <c r="AC24" s="79"/>
    </row>
    <row r="25" spans="1:29" ht="16" thickBot="1">
      <c r="A25" s="99"/>
      <c r="B25" s="432"/>
      <c r="C25" s="99"/>
      <c r="D25" s="99"/>
      <c r="E25" s="99"/>
      <c r="F25" s="433"/>
      <c r="G25" s="126"/>
      <c r="H25" s="126"/>
      <c r="I25" s="126"/>
      <c r="J25" s="126"/>
      <c r="K25" s="126"/>
      <c r="M25" s="94"/>
      <c r="N25" s="94"/>
      <c r="O25" s="94"/>
      <c r="P25" s="94"/>
      <c r="Q25" s="94"/>
      <c r="R25" s="94"/>
      <c r="S25" s="94"/>
      <c r="T25" s="94"/>
      <c r="U25" s="94"/>
      <c r="V25" s="126"/>
      <c r="W25" s="126"/>
      <c r="X25" s="126"/>
      <c r="Y25" s="126"/>
      <c r="Z25" s="115"/>
      <c r="AA25" s="79"/>
      <c r="AB25" s="79"/>
      <c r="AC25" s="79"/>
    </row>
    <row r="26" spans="1:29" ht="16" thickBot="1">
      <c r="A26" s="99"/>
      <c r="B26" s="274" t="str">
        <f>IF(I2&lt;10,"Möglicher Gewinn bei Verkauf","Möglicher steuerfreier Gewinn bei Verkauf")</f>
        <v>Möglicher steuerfreier Gewinn bei Verkauf</v>
      </c>
      <c r="C26" s="82"/>
      <c r="D26" s="82"/>
      <c r="E26" s="82"/>
      <c r="F26" s="275">
        <f>F22-F24</f>
        <v>151204.82417519795</v>
      </c>
      <c r="G26" s="126"/>
      <c r="H26" s="126"/>
      <c r="I26" s="126"/>
      <c r="J26" s="126"/>
      <c r="K26" s="126"/>
      <c r="L26" s="98">
        <f>IF(L24&gt;0,"Gewinn höher als Investition",(F32/L24)/I2*-1)</f>
        <v>0.29735771796564708</v>
      </c>
      <c r="M26" s="94"/>
      <c r="N26" s="94"/>
      <c r="O26" s="94"/>
      <c r="P26" s="94"/>
      <c r="Q26" s="94"/>
      <c r="R26" s="94"/>
      <c r="S26" s="94"/>
      <c r="T26" s="94"/>
      <c r="U26" s="94"/>
      <c r="V26" s="126"/>
      <c r="W26" s="126"/>
      <c r="X26" s="126"/>
      <c r="Y26" s="126"/>
      <c r="Z26" s="115"/>
      <c r="AA26" s="79"/>
      <c r="AB26" s="79"/>
      <c r="AC26" s="79"/>
    </row>
    <row r="27" spans="1:29">
      <c r="A27" s="99"/>
      <c r="B27" s="430"/>
      <c r="C27" s="99"/>
      <c r="D27" s="99"/>
      <c r="E27" s="99"/>
      <c r="F27" s="431"/>
      <c r="G27" s="126"/>
      <c r="H27" s="126"/>
      <c r="I27" s="126"/>
      <c r="J27" s="126"/>
      <c r="K27" s="126"/>
      <c r="L27" s="97">
        <f>L26*I2</f>
        <v>2.9735771796564707</v>
      </c>
      <c r="M27" s="94" t="s">
        <v>297</v>
      </c>
      <c r="N27" s="94"/>
      <c r="O27" s="94"/>
      <c r="P27" s="94"/>
      <c r="Q27" s="94"/>
      <c r="R27" s="94"/>
      <c r="S27" s="94"/>
      <c r="T27" s="94"/>
      <c r="U27" s="94"/>
      <c r="V27" s="126"/>
      <c r="W27" s="126"/>
      <c r="X27" s="126"/>
      <c r="Y27" s="126"/>
      <c r="Z27" s="115"/>
      <c r="AA27" s="79"/>
      <c r="AB27" s="79"/>
      <c r="AC27" s="79"/>
    </row>
    <row r="28" spans="1:29" ht="15.5">
      <c r="A28" s="99"/>
      <c r="B28" s="434" t="s">
        <v>349</v>
      </c>
      <c r="C28" s="345"/>
      <c r="D28" s="345"/>
      <c r="E28" s="345"/>
      <c r="F28" s="435">
        <f>('Eingabe Immodaten'!C22)*-1</f>
        <v>-18759</v>
      </c>
      <c r="G28" s="126"/>
      <c r="H28" s="126"/>
      <c r="I28" s="126"/>
      <c r="J28" s="126"/>
      <c r="K28" s="126"/>
      <c r="L28" s="98">
        <f>(1+L27)^(365/(365*I2))-1</f>
        <v>0.14793729368565778</v>
      </c>
      <c r="M28" s="263" t="s">
        <v>296</v>
      </c>
      <c r="N28" s="94"/>
      <c r="O28" s="94"/>
      <c r="P28" s="94"/>
      <c r="Q28" s="94"/>
      <c r="R28" s="94"/>
      <c r="S28" s="94"/>
      <c r="T28" s="94"/>
      <c r="U28" s="94"/>
      <c r="V28" s="126"/>
      <c r="W28" s="126"/>
      <c r="X28" s="126"/>
      <c r="Y28" s="126"/>
      <c r="Z28" s="115"/>
      <c r="AA28" s="79"/>
      <c r="AB28" s="79"/>
      <c r="AC28" s="79"/>
    </row>
    <row r="29" spans="1:29">
      <c r="A29" s="99"/>
      <c r="B29" s="430"/>
      <c r="C29" s="99"/>
      <c r="D29" s="99"/>
      <c r="E29" s="99"/>
      <c r="F29" s="431"/>
      <c r="G29" s="126"/>
      <c r="H29" s="126"/>
      <c r="I29" s="126"/>
      <c r="J29" s="126"/>
      <c r="K29" s="126"/>
      <c r="M29" s="271" t="s">
        <v>295</v>
      </c>
      <c r="N29" s="94" t="s">
        <v>294</v>
      </c>
      <c r="O29" s="94"/>
      <c r="P29" s="94"/>
      <c r="Q29" s="94"/>
      <c r="R29" s="94"/>
      <c r="S29" s="94"/>
      <c r="T29" s="94"/>
      <c r="U29" s="94"/>
      <c r="V29" s="126"/>
      <c r="W29" s="126"/>
      <c r="X29" s="126"/>
      <c r="Y29" s="126"/>
      <c r="Z29" s="115"/>
      <c r="AA29" s="79"/>
      <c r="AB29" s="79"/>
      <c r="AC29" s="79"/>
    </row>
    <row r="30" spans="1:29" ht="15.5">
      <c r="A30" s="99"/>
      <c r="B30" s="434" t="str">
        <f>IF(F30&gt;0,"Zuzüglich Vermögens aus mtl. Überschüssen","Abzüglich Investition aus mtl. Unterdeckungen")</f>
        <v>Abzüglich Investition aus mtl. Unterdeckungen</v>
      </c>
      <c r="C30" s="345"/>
      <c r="D30" s="345"/>
      <c r="E30" s="345"/>
      <c r="F30" s="435" cm="1">
        <f t="array" ref="F30">_xlfn.XLOOKUP(I2,Ergebnistabelle!B7:B56,Ergebnistabelle!AM7:AM56-F28)</f>
        <v>-19293.57009963756</v>
      </c>
      <c r="G30" s="126"/>
      <c r="H30" s="126"/>
      <c r="I30" s="126"/>
      <c r="J30" s="126"/>
      <c r="K30" s="126"/>
      <c r="L30" s="98">
        <f>IF(L24&gt;0,"Gewinn höher als Investition",L28)</f>
        <v>0.14793729368565778</v>
      </c>
      <c r="M30" s="94"/>
      <c r="N30" s="94"/>
      <c r="O30" s="94"/>
      <c r="P30" s="94"/>
      <c r="Q30" s="94"/>
      <c r="R30" s="94"/>
      <c r="S30" s="94"/>
      <c r="T30" s="94"/>
      <c r="U30" s="94"/>
      <c r="V30" s="126"/>
      <c r="W30" s="126"/>
      <c r="X30" s="126"/>
      <c r="Y30" s="126"/>
      <c r="Z30" s="115"/>
      <c r="AA30" s="79"/>
      <c r="AB30" s="79"/>
      <c r="AC30" s="79"/>
    </row>
    <row r="31" spans="1:29" ht="13" thickBot="1">
      <c r="A31" s="99"/>
      <c r="B31" s="430"/>
      <c r="C31" s="99"/>
      <c r="D31" s="99"/>
      <c r="E31" s="99"/>
      <c r="F31" s="431"/>
      <c r="G31" s="126"/>
      <c r="H31" s="126"/>
      <c r="I31" s="126"/>
      <c r="J31" s="126"/>
      <c r="K31" s="126"/>
      <c r="L31" s="279">
        <f>IF(L30&lt;0,"",L30)</f>
        <v>0.14793729368565778</v>
      </c>
      <c r="M31" s="94"/>
      <c r="N31" s="94"/>
      <c r="O31" s="94"/>
      <c r="P31" s="94"/>
      <c r="Q31" s="94"/>
      <c r="R31" s="94"/>
      <c r="S31" s="94"/>
      <c r="T31" s="94"/>
      <c r="U31" s="94"/>
      <c r="V31" s="126"/>
      <c r="W31" s="126"/>
      <c r="X31" s="126"/>
      <c r="Y31" s="126"/>
      <c r="Z31" s="115"/>
      <c r="AA31" s="79"/>
      <c r="AB31" s="79"/>
      <c r="AC31" s="79"/>
    </row>
    <row r="32" spans="1:29" ht="16" thickBot="1">
      <c r="A32" s="99"/>
      <c r="B32" s="276" t="str">
        <f>IF(I2&lt;10,"Möglicher Gewinn nach Abzug der Investition","Möglicher steuerfreier Gewinn nach Abzug der Investition")</f>
        <v>Möglicher steuerfreier Gewinn nach Abzug der Investition</v>
      </c>
      <c r="C32" s="277"/>
      <c r="D32" s="277"/>
      <c r="E32" s="277"/>
      <c r="F32" s="278">
        <f>F26+F28+F30</f>
        <v>113152.2540755604</v>
      </c>
      <c r="G32" s="115"/>
      <c r="J32" s="115"/>
      <c r="K32" s="126"/>
      <c r="L32" s="94" t="str">
        <f>IF(L30&lt;0,"","Rendite pro Jahr*:")</f>
        <v>Rendite pro Jahr*:</v>
      </c>
      <c r="M32" s="94"/>
      <c r="N32" s="94"/>
      <c r="O32" s="94"/>
      <c r="P32" s="94"/>
      <c r="Q32" s="94"/>
      <c r="R32" s="94"/>
      <c r="S32" s="94"/>
      <c r="T32" s="94"/>
      <c r="U32" s="94"/>
      <c r="V32" s="126"/>
      <c r="W32" s="126"/>
      <c r="X32" s="126"/>
      <c r="Y32" s="126"/>
      <c r="Z32" s="115"/>
      <c r="AA32" s="79"/>
      <c r="AB32" s="79"/>
      <c r="AC32" s="79"/>
    </row>
    <row r="33" spans="1:29" ht="15.5">
      <c r="A33" s="99"/>
      <c r="B33" s="436"/>
      <c r="C33" s="95"/>
      <c r="D33" s="95"/>
      <c r="E33" s="95"/>
      <c r="F33" s="435"/>
      <c r="G33" s="126"/>
      <c r="H33" s="126"/>
      <c r="I33" s="126"/>
      <c r="J33" s="126"/>
      <c r="K33" s="126"/>
      <c r="L33" s="94" t="str">
        <f>IF(L30&lt;0,"","*Möglicher Gewinn im Verhältnis zur Investition aus mtl. Unterdeckungen und Eigenkapital im ausgewählten Ergebnisjahr. (Jahresrendite = (1 + Gesamtrendite) hoch (365 / Haltedauer in Tagen) – 1)")</f>
        <v>*Möglicher Gewinn im Verhältnis zur Investition aus mtl. Unterdeckungen und Eigenkapital im ausgewählten Ergebnisjahr. (Jahresrendite = (1 + Gesamtrendite) hoch (365 / Haltedauer in Tagen) – 1)</v>
      </c>
      <c r="M33" s="94"/>
      <c r="N33" s="94"/>
      <c r="O33" s="94"/>
      <c r="P33" s="94"/>
      <c r="Q33" s="94"/>
      <c r="R33" s="94"/>
      <c r="S33" s="94"/>
      <c r="T33" s="94"/>
      <c r="U33" s="94"/>
      <c r="V33" s="126"/>
      <c r="W33" s="126"/>
      <c r="X33" s="126"/>
      <c r="Y33" s="126"/>
      <c r="Z33" s="115"/>
      <c r="AA33" s="79"/>
      <c r="AB33" s="79"/>
      <c r="AC33" s="79"/>
    </row>
    <row r="34" spans="1:29" ht="16" thickBot="1">
      <c r="A34" s="99"/>
      <c r="B34" s="437" t="str">
        <f>L32</f>
        <v>Rendite pro Jahr*:</v>
      </c>
      <c r="C34" s="438"/>
      <c r="D34" s="438"/>
      <c r="E34" s="438"/>
      <c r="F34" s="439">
        <f>L31</f>
        <v>0.14793729368565778</v>
      </c>
      <c r="G34" s="126"/>
      <c r="H34" s="126"/>
      <c r="I34" s="126"/>
      <c r="J34" s="126"/>
      <c r="K34" s="126"/>
      <c r="M34" s="94"/>
      <c r="N34" s="94"/>
      <c r="O34" s="94"/>
      <c r="P34" s="94"/>
      <c r="Q34" s="94"/>
      <c r="R34" s="94"/>
      <c r="S34" s="94"/>
      <c r="T34" s="94"/>
      <c r="U34" s="94"/>
      <c r="V34" s="126"/>
      <c r="W34" s="126"/>
      <c r="X34" s="126"/>
      <c r="Y34" s="126"/>
      <c r="Z34" s="115"/>
      <c r="AA34" s="79"/>
      <c r="AB34" s="79"/>
      <c r="AC34" s="79"/>
    </row>
    <row r="35" spans="1:29">
      <c r="A35" s="99"/>
      <c r="B35" s="272"/>
      <c r="C35" s="273"/>
      <c r="D35" s="259"/>
      <c r="E35" s="259"/>
      <c r="F35" s="269"/>
      <c r="G35" s="259"/>
      <c r="H35" s="259"/>
      <c r="I35" s="259"/>
      <c r="J35" s="259"/>
      <c r="K35" s="126"/>
      <c r="M35" s="94"/>
      <c r="N35" s="94"/>
      <c r="O35" s="94"/>
      <c r="P35" s="94"/>
      <c r="Q35" s="94"/>
      <c r="R35" s="94"/>
      <c r="S35" s="94"/>
      <c r="T35" s="94"/>
      <c r="U35" s="94"/>
      <c r="V35" s="126"/>
      <c r="W35" s="126"/>
      <c r="X35" s="126"/>
      <c r="Y35" s="126"/>
      <c r="Z35" s="115"/>
      <c r="AA35" s="79"/>
      <c r="AB35" s="79"/>
      <c r="AC35" s="79"/>
    </row>
    <row r="36" spans="1:29">
      <c r="A36" s="99"/>
      <c r="B36" s="259"/>
      <c r="C36" s="259"/>
      <c r="D36" s="111" t="s">
        <v>222</v>
      </c>
      <c r="E36" s="259"/>
      <c r="F36" s="112" t="s">
        <v>226</v>
      </c>
      <c r="H36" s="125"/>
      <c r="I36" s="259"/>
      <c r="J36" s="125" t="s">
        <v>346</v>
      </c>
      <c r="K36" s="126"/>
      <c r="M36" s="94"/>
      <c r="N36" s="94"/>
      <c r="O36" s="94"/>
      <c r="P36" s="94"/>
      <c r="Q36" s="94"/>
      <c r="R36" s="94"/>
      <c r="S36" s="94"/>
      <c r="T36" s="94"/>
      <c r="U36" s="94"/>
      <c r="V36" s="126"/>
      <c r="W36" s="126"/>
      <c r="X36" s="126"/>
      <c r="Y36" s="126"/>
      <c r="Z36" s="115"/>
      <c r="AA36" s="79"/>
      <c r="AB36" s="79"/>
      <c r="AC36" s="79"/>
    </row>
    <row r="37" spans="1:29">
      <c r="A37" s="99"/>
      <c r="B37" s="99"/>
      <c r="C37" s="99"/>
      <c r="D37" s="99"/>
      <c r="E37" s="99"/>
      <c r="F37" s="99"/>
      <c r="G37" s="126"/>
      <c r="H37" s="126"/>
      <c r="I37" s="126"/>
      <c r="J37" s="537" t="s">
        <v>381</v>
      </c>
      <c r="K37" s="126"/>
      <c r="L37" s="126"/>
      <c r="M37" s="126"/>
      <c r="N37" s="126"/>
      <c r="O37" s="126"/>
      <c r="P37" s="126"/>
      <c r="Q37" s="126"/>
      <c r="R37" s="126"/>
      <c r="S37" s="126"/>
      <c r="T37" s="126"/>
      <c r="U37" s="126"/>
      <c r="V37" s="126"/>
      <c r="W37" s="126"/>
      <c r="X37" s="126"/>
      <c r="Y37" s="126"/>
      <c r="Z37" s="115"/>
      <c r="AA37" s="79"/>
      <c r="AB37" s="79"/>
      <c r="AC37" s="79"/>
    </row>
    <row r="38" spans="1:29">
      <c r="A38" s="99"/>
      <c r="B38" s="99"/>
      <c r="C38" s="99"/>
      <c r="D38" s="99"/>
      <c r="E38" s="99"/>
      <c r="F38" s="99"/>
      <c r="G38" s="126"/>
      <c r="H38" s="126"/>
      <c r="I38" s="126"/>
      <c r="J38" s="126"/>
      <c r="K38" s="126"/>
      <c r="L38" s="126"/>
      <c r="M38" s="126"/>
      <c r="N38" s="126"/>
      <c r="O38" s="126"/>
      <c r="P38" s="126"/>
      <c r="Q38" s="126"/>
      <c r="R38" s="126"/>
      <c r="S38" s="126"/>
      <c r="T38" s="126"/>
      <c r="U38" s="126"/>
      <c r="V38" s="126"/>
      <c r="W38" s="126"/>
      <c r="X38" s="126"/>
      <c r="Y38" s="126"/>
      <c r="Z38" s="115"/>
      <c r="AA38" s="79"/>
      <c r="AB38" s="79"/>
      <c r="AC38" s="79"/>
    </row>
    <row r="39" spans="1:29">
      <c r="A39" s="99"/>
      <c r="B39" s="270" t="str">
        <f>L33</f>
        <v>*Möglicher Gewinn im Verhältnis zur Investition aus mtl. Unterdeckungen und Eigenkapital im ausgewählten Ergebnisjahr. (Jahresrendite = (1 + Gesamtrendite) hoch (365 / Haltedauer in Tagen) – 1)</v>
      </c>
      <c r="C39" s="99"/>
      <c r="D39" s="99"/>
      <c r="E39" s="99"/>
      <c r="F39" s="99"/>
      <c r="G39" s="126"/>
      <c r="H39" s="126"/>
      <c r="I39" s="126"/>
      <c r="J39" s="126"/>
      <c r="K39" s="126"/>
      <c r="L39" s="126"/>
      <c r="M39" s="126"/>
      <c r="N39" s="126"/>
      <c r="O39" s="126"/>
      <c r="P39" s="126"/>
      <c r="Q39" s="126"/>
      <c r="R39" s="126"/>
      <c r="S39" s="126"/>
      <c r="T39" s="126"/>
      <c r="U39" s="126"/>
      <c r="V39" s="126"/>
      <c r="W39" s="126"/>
      <c r="X39" s="126"/>
      <c r="Y39" s="126"/>
      <c r="Z39" s="115"/>
      <c r="AA39" s="79"/>
      <c r="AB39" s="79"/>
      <c r="AC39" s="79"/>
    </row>
    <row r="40" spans="1:29">
      <c r="A40" s="99"/>
      <c r="B40" s="99"/>
      <c r="C40" s="99"/>
      <c r="D40" s="99"/>
      <c r="E40" s="99"/>
      <c r="F40" s="99"/>
      <c r="G40" s="126"/>
      <c r="H40" s="126"/>
      <c r="I40" s="126"/>
      <c r="J40" s="126"/>
      <c r="K40" s="126"/>
      <c r="L40" s="126"/>
      <c r="M40" s="126"/>
      <c r="N40" s="126"/>
      <c r="O40" s="126"/>
      <c r="P40" s="126"/>
      <c r="Q40" s="126"/>
      <c r="R40" s="126"/>
      <c r="S40" s="126"/>
      <c r="T40" s="126"/>
      <c r="U40" s="126"/>
      <c r="V40" s="126"/>
      <c r="W40" s="126"/>
      <c r="X40" s="126"/>
      <c r="Y40" s="126"/>
      <c r="Z40" s="115"/>
      <c r="AA40" s="79"/>
      <c r="AB40" s="79"/>
      <c r="AC40" s="79"/>
    </row>
    <row r="41" spans="1:29">
      <c r="A41" s="99"/>
      <c r="B41" s="99"/>
      <c r="C41" s="99"/>
      <c r="D41" s="99"/>
      <c r="E41" s="99"/>
      <c r="F41" s="99"/>
      <c r="G41" s="126"/>
      <c r="H41" s="126"/>
      <c r="I41" s="126"/>
      <c r="J41" s="126"/>
      <c r="K41" s="126"/>
      <c r="L41" s="126"/>
      <c r="M41" s="126"/>
      <c r="N41" s="126"/>
      <c r="O41" s="126"/>
      <c r="P41" s="126"/>
      <c r="Q41" s="126"/>
      <c r="R41" s="126"/>
      <c r="S41" s="126"/>
      <c r="T41" s="126"/>
      <c r="U41" s="126"/>
      <c r="V41" s="126"/>
      <c r="W41" s="126"/>
      <c r="X41" s="126"/>
      <c r="Y41" s="126"/>
      <c r="Z41" s="115"/>
      <c r="AA41" s="79"/>
      <c r="AB41" s="79"/>
      <c r="AC41" s="79"/>
    </row>
    <row r="42" spans="1:29">
      <c r="A42" s="99"/>
      <c r="B42" s="99"/>
      <c r="C42" s="99"/>
      <c r="D42" s="99"/>
      <c r="E42" s="99"/>
      <c r="F42" s="99"/>
      <c r="G42" s="126"/>
      <c r="H42" s="126"/>
      <c r="I42" s="126"/>
      <c r="J42" s="126"/>
      <c r="K42" s="126"/>
      <c r="L42" s="126"/>
      <c r="M42" s="126"/>
      <c r="N42" s="126"/>
      <c r="O42" s="126"/>
      <c r="P42" s="126"/>
      <c r="Q42" s="126"/>
      <c r="R42" s="126"/>
      <c r="S42" s="126"/>
      <c r="T42" s="126"/>
      <c r="U42" s="126"/>
      <c r="V42" s="126"/>
      <c r="W42" s="126"/>
      <c r="X42" s="126"/>
      <c r="Y42" s="126"/>
      <c r="Z42" s="115"/>
      <c r="AA42" s="79"/>
      <c r="AB42" s="79"/>
      <c r="AC42" s="79"/>
    </row>
    <row r="43" spans="1:29">
      <c r="A43" s="99"/>
      <c r="C43" s="99"/>
      <c r="D43" s="99"/>
      <c r="E43" s="99"/>
      <c r="F43" s="99"/>
      <c r="G43" s="126"/>
      <c r="H43" s="126"/>
      <c r="I43" s="126"/>
      <c r="J43" s="126"/>
      <c r="K43" s="126"/>
      <c r="L43" s="126"/>
      <c r="M43" s="126"/>
      <c r="N43" s="126"/>
      <c r="O43" s="126"/>
      <c r="P43" s="126"/>
      <c r="Q43" s="126"/>
      <c r="R43" s="126"/>
      <c r="S43" s="126"/>
      <c r="T43" s="126"/>
      <c r="U43" s="126"/>
      <c r="V43" s="126"/>
      <c r="W43" s="126"/>
      <c r="X43" s="126"/>
      <c r="Y43" s="126"/>
      <c r="Z43" s="115"/>
      <c r="AA43" s="79"/>
      <c r="AB43" s="79"/>
      <c r="AC43" s="79"/>
    </row>
    <row r="44" spans="1:29">
      <c r="A44" s="99"/>
      <c r="B44" s="99"/>
      <c r="C44" s="99"/>
      <c r="D44" s="99"/>
      <c r="E44" s="99"/>
      <c r="F44" s="99"/>
      <c r="G44" s="126"/>
      <c r="H44" s="126"/>
      <c r="I44" s="126"/>
      <c r="J44" s="126"/>
      <c r="K44" s="126"/>
      <c r="L44" s="126"/>
      <c r="M44" s="126"/>
      <c r="N44" s="126"/>
      <c r="O44" s="126"/>
      <c r="P44" s="126"/>
      <c r="Q44" s="126"/>
      <c r="R44" s="126"/>
      <c r="S44" s="126"/>
      <c r="T44" s="126"/>
      <c r="U44" s="126"/>
      <c r="V44" s="126"/>
      <c r="W44" s="126"/>
      <c r="X44" s="126"/>
      <c r="Y44" s="126"/>
      <c r="Z44" s="115"/>
      <c r="AA44" s="79"/>
      <c r="AB44" s="79"/>
      <c r="AC44" s="79"/>
    </row>
    <row r="45" spans="1:29">
      <c r="A45" s="99"/>
      <c r="B45" s="99"/>
      <c r="C45" s="99"/>
      <c r="D45" s="99"/>
      <c r="E45" s="99"/>
      <c r="F45" s="99"/>
      <c r="G45" s="126"/>
      <c r="H45" s="126"/>
      <c r="I45" s="126"/>
      <c r="J45" s="126"/>
      <c r="K45" s="126"/>
      <c r="L45" s="126"/>
      <c r="M45" s="126"/>
      <c r="N45" s="126"/>
      <c r="O45" s="126"/>
      <c r="P45" s="126"/>
      <c r="Q45" s="126"/>
      <c r="R45" s="126"/>
      <c r="S45" s="126"/>
      <c r="T45" s="126"/>
      <c r="U45" s="126"/>
      <c r="V45" s="126"/>
      <c r="W45" s="126"/>
      <c r="X45" s="126"/>
      <c r="Y45" s="126"/>
      <c r="Z45" s="115"/>
      <c r="AA45" s="79"/>
      <c r="AB45" s="79"/>
      <c r="AC45" s="79"/>
    </row>
    <row r="46" spans="1:29">
      <c r="A46" s="99"/>
      <c r="B46" s="99"/>
      <c r="C46" s="99"/>
      <c r="D46" s="99"/>
      <c r="E46" s="99"/>
      <c r="F46" s="99"/>
      <c r="G46" s="126"/>
      <c r="H46" s="126"/>
      <c r="I46" s="126"/>
      <c r="J46" s="126"/>
      <c r="K46" s="126"/>
      <c r="L46" s="126"/>
      <c r="M46" s="126"/>
      <c r="N46" s="126"/>
      <c r="O46" s="126"/>
      <c r="P46" s="126"/>
      <c r="Q46" s="126"/>
      <c r="R46" s="126"/>
      <c r="S46" s="126"/>
      <c r="T46" s="126"/>
      <c r="U46" s="126"/>
      <c r="V46" s="126"/>
      <c r="W46" s="126"/>
      <c r="X46" s="126"/>
      <c r="Y46" s="126"/>
      <c r="Z46" s="115"/>
      <c r="AA46" s="79"/>
      <c r="AB46" s="79"/>
      <c r="AC46" s="79"/>
    </row>
    <row r="47" spans="1:29">
      <c r="A47" s="99"/>
      <c r="B47" s="99"/>
      <c r="C47" s="99"/>
      <c r="D47" s="99"/>
      <c r="E47" s="99"/>
      <c r="F47" s="99"/>
      <c r="G47" s="126"/>
      <c r="H47" s="126"/>
      <c r="I47" s="126"/>
      <c r="J47" s="126"/>
      <c r="K47" s="126"/>
      <c r="L47" s="126"/>
      <c r="M47" s="126"/>
      <c r="N47" s="126"/>
      <c r="O47" s="126"/>
      <c r="P47" s="126"/>
      <c r="Q47" s="126"/>
      <c r="R47" s="126"/>
      <c r="S47" s="126"/>
      <c r="T47" s="126"/>
      <c r="U47" s="126"/>
      <c r="V47" s="126"/>
      <c r="W47" s="126"/>
      <c r="X47" s="126"/>
      <c r="Y47" s="126"/>
      <c r="Z47" s="115"/>
      <c r="AA47" s="79"/>
      <c r="AB47" s="79"/>
      <c r="AC47" s="79"/>
    </row>
    <row r="48" spans="1:29">
      <c r="A48" s="99"/>
      <c r="B48" s="99"/>
      <c r="C48" s="99"/>
      <c r="D48" s="99"/>
      <c r="E48" s="99"/>
      <c r="F48" s="99"/>
      <c r="G48" s="126"/>
      <c r="H48" s="126"/>
      <c r="I48" s="126"/>
      <c r="J48" s="126"/>
      <c r="K48" s="126"/>
      <c r="L48" s="126"/>
      <c r="M48" s="126"/>
      <c r="N48" s="126"/>
      <c r="O48" s="126"/>
      <c r="P48" s="126"/>
      <c r="Q48" s="126"/>
      <c r="R48" s="126"/>
      <c r="S48" s="126"/>
      <c r="T48" s="126"/>
      <c r="U48" s="126"/>
      <c r="V48" s="126"/>
      <c r="W48" s="126"/>
      <c r="X48" s="126"/>
      <c r="Y48" s="126"/>
      <c r="Z48" s="115"/>
      <c r="AA48" s="79"/>
      <c r="AB48" s="79"/>
      <c r="AC48" s="79"/>
    </row>
    <row r="49" spans="1:29">
      <c r="A49" s="99"/>
      <c r="B49" s="99"/>
      <c r="C49" s="99"/>
      <c r="D49" s="99"/>
      <c r="E49" s="99"/>
      <c r="F49" s="99"/>
      <c r="G49" s="126"/>
      <c r="H49" s="126"/>
      <c r="I49" s="126"/>
      <c r="J49" s="126"/>
      <c r="K49" s="126"/>
      <c r="L49" s="126"/>
      <c r="M49" s="126"/>
      <c r="N49" s="126"/>
      <c r="O49" s="126"/>
      <c r="P49" s="126"/>
      <c r="Q49" s="126"/>
      <c r="R49" s="126"/>
      <c r="S49" s="126"/>
      <c r="T49" s="126"/>
      <c r="U49" s="126"/>
      <c r="V49" s="126"/>
      <c r="W49" s="126"/>
      <c r="X49" s="126"/>
      <c r="Y49" s="126"/>
      <c r="Z49" s="115"/>
      <c r="AA49" s="79"/>
      <c r="AB49" s="79"/>
      <c r="AC49" s="79"/>
    </row>
    <row r="50" spans="1:29">
      <c r="A50" s="99"/>
      <c r="B50" s="99"/>
      <c r="C50" s="99"/>
      <c r="D50" s="99"/>
      <c r="E50" s="99"/>
      <c r="F50" s="99"/>
      <c r="G50" s="126"/>
      <c r="H50" s="126"/>
      <c r="I50" s="126"/>
      <c r="J50" s="126"/>
      <c r="K50" s="126"/>
      <c r="L50" s="126"/>
      <c r="M50" s="126"/>
      <c r="N50" s="126"/>
      <c r="O50" s="126"/>
      <c r="P50" s="126"/>
      <c r="Q50" s="126"/>
      <c r="R50" s="126"/>
      <c r="S50" s="126"/>
      <c r="T50" s="126"/>
      <c r="U50" s="126"/>
      <c r="V50" s="126"/>
      <c r="W50" s="126"/>
      <c r="X50" s="126"/>
      <c r="Y50" s="126"/>
      <c r="Z50" s="115"/>
      <c r="AA50" s="79"/>
      <c r="AB50" s="79"/>
      <c r="AC50" s="79"/>
    </row>
    <row r="51" spans="1:29">
      <c r="A51" s="99"/>
      <c r="B51" s="99"/>
      <c r="C51" s="99"/>
      <c r="D51" s="99"/>
      <c r="E51" s="99"/>
      <c r="F51" s="99"/>
      <c r="G51" s="126"/>
      <c r="H51" s="126"/>
      <c r="I51" s="126"/>
      <c r="J51" s="126"/>
      <c r="K51" s="126"/>
      <c r="L51" s="126"/>
      <c r="M51" s="126"/>
      <c r="N51" s="126"/>
      <c r="O51" s="126"/>
      <c r="P51" s="126"/>
      <c r="Q51" s="126"/>
      <c r="R51" s="126"/>
      <c r="S51" s="126"/>
      <c r="T51" s="126"/>
      <c r="U51" s="126"/>
      <c r="V51" s="126"/>
      <c r="W51" s="126"/>
      <c r="X51" s="126"/>
      <c r="Y51" s="126"/>
      <c r="Z51" s="115"/>
      <c r="AA51" s="79"/>
      <c r="AB51" s="79"/>
      <c r="AC51" s="79"/>
    </row>
    <row r="52" spans="1:29">
      <c r="A52" s="99"/>
      <c r="B52" s="99"/>
      <c r="C52" s="99"/>
      <c r="D52" s="99"/>
      <c r="E52" s="99"/>
      <c r="F52" s="99"/>
      <c r="G52" s="126"/>
      <c r="H52" s="126"/>
      <c r="I52" s="126"/>
      <c r="J52" s="126"/>
      <c r="K52" s="126"/>
      <c r="L52" s="126"/>
      <c r="M52" s="126"/>
      <c r="N52" s="126"/>
      <c r="O52" s="126"/>
      <c r="P52" s="126"/>
      <c r="Q52" s="126"/>
      <c r="R52" s="126"/>
      <c r="S52" s="126"/>
      <c r="T52" s="126"/>
      <c r="U52" s="126"/>
      <c r="V52" s="126"/>
      <c r="W52" s="126"/>
      <c r="X52" s="126"/>
      <c r="Y52" s="126"/>
      <c r="Z52" s="115"/>
      <c r="AA52" s="79"/>
      <c r="AB52" s="79"/>
      <c r="AC52" s="79"/>
    </row>
    <row r="53" spans="1:29" ht="15.5">
      <c r="A53" s="99"/>
      <c r="B53" s="161"/>
      <c r="C53" s="99"/>
      <c r="D53" s="99"/>
      <c r="E53" s="99"/>
      <c r="F53" s="189"/>
      <c r="G53" s="126"/>
      <c r="H53" s="126"/>
      <c r="I53" s="126"/>
      <c r="J53" s="126"/>
      <c r="K53" s="126"/>
      <c r="L53" s="126"/>
      <c r="M53" s="126"/>
      <c r="N53" s="126"/>
      <c r="O53" s="126"/>
      <c r="P53" s="126"/>
      <c r="Q53" s="126"/>
      <c r="R53" s="126"/>
      <c r="S53" s="126"/>
      <c r="T53" s="126"/>
      <c r="U53" s="126"/>
      <c r="V53" s="126"/>
      <c r="W53" s="126"/>
      <c r="X53" s="126"/>
      <c r="Y53" s="126"/>
      <c r="Z53" s="115"/>
      <c r="AA53" s="79"/>
      <c r="AB53" s="79"/>
      <c r="AC53" s="79"/>
    </row>
    <row r="54" spans="1:29">
      <c r="A54" s="99"/>
      <c r="B54" s="99"/>
      <c r="C54" s="99"/>
      <c r="D54" s="99"/>
      <c r="E54" s="99"/>
      <c r="F54" s="99"/>
      <c r="G54" s="99"/>
      <c r="H54" s="99"/>
      <c r="I54" s="99"/>
      <c r="J54" s="99"/>
      <c r="K54" s="126"/>
      <c r="L54" s="126"/>
      <c r="M54" s="126"/>
      <c r="N54" s="126"/>
      <c r="O54" s="126"/>
      <c r="P54" s="126"/>
      <c r="Q54" s="126"/>
      <c r="R54" s="126"/>
      <c r="S54" s="126"/>
      <c r="T54" s="126"/>
      <c r="U54" s="126"/>
      <c r="V54" s="126"/>
      <c r="W54" s="126"/>
      <c r="X54" s="126"/>
      <c r="Y54" s="126"/>
      <c r="Z54" s="115"/>
      <c r="AA54" s="79"/>
      <c r="AB54" s="79"/>
      <c r="AC54" s="79"/>
    </row>
    <row r="55" spans="1:29">
      <c r="A55" s="99"/>
      <c r="B55" s="99"/>
      <c r="C55" s="99"/>
      <c r="D55" s="99"/>
      <c r="E55" s="99"/>
      <c r="F55" s="99"/>
      <c r="G55" s="99"/>
      <c r="H55" s="99"/>
      <c r="I55" s="99"/>
      <c r="J55" s="99"/>
      <c r="K55" s="126"/>
      <c r="S55" s="126"/>
      <c r="T55" s="126"/>
      <c r="U55" s="126"/>
      <c r="V55" s="126"/>
      <c r="W55" s="126"/>
      <c r="X55" s="126"/>
      <c r="Y55" s="126"/>
      <c r="Z55" s="115"/>
      <c r="AA55" s="79"/>
      <c r="AB55" s="79"/>
      <c r="AC55" s="79"/>
    </row>
    <row r="56" spans="1:29">
      <c r="A56" s="99"/>
      <c r="B56" s="99"/>
      <c r="C56" s="99"/>
      <c r="D56" s="99"/>
      <c r="E56" s="99"/>
      <c r="F56" s="99"/>
      <c r="G56" s="99"/>
      <c r="H56" s="99"/>
      <c r="I56" s="99"/>
      <c r="J56" s="99"/>
      <c r="K56" s="126"/>
      <c r="S56" s="126"/>
      <c r="T56" s="126"/>
      <c r="U56" s="126"/>
      <c r="V56" s="126"/>
      <c r="W56" s="126"/>
      <c r="X56" s="126"/>
      <c r="Y56" s="126"/>
      <c r="Z56" s="115"/>
      <c r="AA56" s="79"/>
      <c r="AB56" s="79"/>
      <c r="AC56" s="79"/>
    </row>
    <row r="57" spans="1:29">
      <c r="A57" s="99"/>
      <c r="K57" s="126"/>
      <c r="S57" s="126"/>
      <c r="T57" s="126"/>
      <c r="U57" s="126"/>
      <c r="V57" s="126"/>
      <c r="W57" s="126"/>
      <c r="X57" s="126"/>
      <c r="Y57" s="126"/>
      <c r="Z57" s="115"/>
      <c r="AA57" s="79"/>
      <c r="AB57" s="79"/>
      <c r="AC57" s="79"/>
    </row>
    <row r="58" spans="1:29">
      <c r="A58" s="99"/>
      <c r="K58" s="126"/>
      <c r="S58" s="126"/>
      <c r="T58" s="126"/>
      <c r="U58" s="126"/>
      <c r="V58" s="126"/>
      <c r="W58" s="126"/>
      <c r="X58" s="126"/>
      <c r="Y58" s="126"/>
      <c r="Z58" s="115"/>
      <c r="AA58" s="79"/>
      <c r="AB58" s="79"/>
      <c r="AC58" s="79"/>
    </row>
    <row r="59" spans="1:29">
      <c r="A59" s="99"/>
      <c r="K59" s="126"/>
      <c r="S59" s="126"/>
      <c r="T59" s="126"/>
      <c r="U59" s="126"/>
      <c r="V59" s="126"/>
      <c r="W59" s="126"/>
      <c r="X59" s="126"/>
      <c r="Y59" s="126"/>
      <c r="Z59" s="115"/>
      <c r="AA59" s="79"/>
      <c r="AB59" s="79"/>
      <c r="AC59" s="79"/>
    </row>
    <row r="60" spans="1:29">
      <c r="A60" s="99"/>
      <c r="K60" s="126"/>
      <c r="S60" s="126"/>
      <c r="T60" s="126"/>
      <c r="U60" s="126"/>
      <c r="V60" s="126"/>
      <c r="W60" s="126"/>
      <c r="X60" s="126"/>
      <c r="Y60" s="126"/>
      <c r="Z60" s="115"/>
      <c r="AA60" s="79"/>
      <c r="AB60" s="79"/>
      <c r="AC60" s="79"/>
    </row>
    <row r="61" spans="1:29">
      <c r="A61" s="99"/>
      <c r="K61" s="126"/>
      <c r="S61" s="126"/>
      <c r="T61" s="126"/>
      <c r="U61" s="126"/>
      <c r="V61" s="126"/>
      <c r="W61" s="126"/>
      <c r="X61" s="126"/>
      <c r="Y61" s="126"/>
      <c r="Z61" s="115"/>
      <c r="AA61" s="79"/>
      <c r="AB61" s="79"/>
      <c r="AC61" s="79"/>
    </row>
    <row r="62" spans="1:29">
      <c r="A62" s="99"/>
      <c r="K62" s="126"/>
      <c r="S62" s="126"/>
      <c r="T62" s="126"/>
      <c r="U62" s="126"/>
      <c r="V62" s="126"/>
      <c r="W62" s="126"/>
      <c r="X62" s="126"/>
      <c r="Y62" s="126"/>
      <c r="Z62" s="115"/>
      <c r="AA62" s="79"/>
      <c r="AB62" s="79"/>
      <c r="AC62" s="79"/>
    </row>
    <row r="63" spans="1:29">
      <c r="A63" s="99"/>
      <c r="K63" s="126"/>
      <c r="S63" s="126"/>
      <c r="T63" s="126"/>
      <c r="U63" s="126"/>
      <c r="V63" s="126"/>
      <c r="W63" s="126"/>
      <c r="X63" s="126"/>
      <c r="Y63" s="126"/>
      <c r="Z63" s="115"/>
      <c r="AA63" s="79"/>
      <c r="AB63" s="79"/>
      <c r="AC63" s="79"/>
    </row>
    <row r="64" spans="1:29">
      <c r="A64" s="99"/>
      <c r="K64" s="126"/>
      <c r="S64" s="126"/>
      <c r="T64" s="126"/>
      <c r="U64" s="126"/>
      <c r="V64" s="126"/>
      <c r="W64" s="126"/>
      <c r="X64" s="126"/>
      <c r="Y64" s="126"/>
      <c r="Z64" s="115"/>
      <c r="AA64" s="79"/>
      <c r="AB64" s="79"/>
      <c r="AC64" s="79"/>
    </row>
    <row r="65" spans="1:29">
      <c r="A65" s="99"/>
      <c r="K65" s="126"/>
      <c r="S65" s="126"/>
      <c r="T65" s="126"/>
      <c r="U65" s="126"/>
      <c r="V65" s="126"/>
      <c r="W65" s="126"/>
      <c r="X65" s="126"/>
      <c r="Y65" s="126"/>
      <c r="Z65" s="115"/>
      <c r="AA65" s="79"/>
      <c r="AB65" s="79"/>
      <c r="AC65" s="79"/>
    </row>
    <row r="66" spans="1:29">
      <c r="A66" s="99"/>
      <c r="K66" s="126"/>
      <c r="S66" s="126"/>
      <c r="T66" s="126"/>
      <c r="U66" s="126"/>
      <c r="V66" s="126"/>
      <c r="W66" s="126"/>
      <c r="X66" s="126"/>
      <c r="Y66" s="126"/>
      <c r="Z66" s="115"/>
      <c r="AA66" s="79"/>
      <c r="AB66" s="79"/>
      <c r="AC66" s="79"/>
    </row>
    <row r="67" spans="1:29">
      <c r="A67" s="259"/>
      <c r="K67" s="126"/>
      <c r="S67" s="126"/>
      <c r="T67" s="126"/>
      <c r="U67" s="126"/>
      <c r="V67" s="126"/>
      <c r="W67" s="126"/>
      <c r="X67" s="126"/>
      <c r="Y67" s="126"/>
      <c r="Z67" s="259"/>
      <c r="AA67" s="260"/>
      <c r="AB67" s="79"/>
      <c r="AC67" s="79"/>
    </row>
    <row r="68" spans="1:29">
      <c r="A68" s="259"/>
      <c r="K68" s="87"/>
      <c r="S68" s="126"/>
      <c r="T68" s="126"/>
      <c r="U68" s="126"/>
      <c r="V68" s="126"/>
      <c r="W68" s="126"/>
      <c r="X68" s="126"/>
      <c r="Y68" s="126"/>
      <c r="Z68" s="259"/>
      <c r="AA68" s="260"/>
      <c r="AB68" s="79"/>
      <c r="AC68" s="79"/>
    </row>
    <row r="69" spans="1:29">
      <c r="A69" s="259"/>
      <c r="K69" s="126"/>
      <c r="L69" s="126"/>
      <c r="M69" s="126"/>
      <c r="N69" s="126"/>
      <c r="O69" s="126"/>
      <c r="P69" s="126"/>
      <c r="Q69" s="126"/>
      <c r="R69" s="126"/>
      <c r="S69" s="126"/>
      <c r="T69" s="126"/>
      <c r="U69" s="126"/>
      <c r="V69" s="126"/>
      <c r="W69" s="126"/>
      <c r="X69" s="126"/>
      <c r="Y69" s="126"/>
      <c r="Z69" s="259"/>
      <c r="AA69" s="260"/>
      <c r="AB69" s="79"/>
      <c r="AC69" s="79"/>
    </row>
    <row r="70" spans="1:29">
      <c r="A70" s="259"/>
      <c r="K70" s="126"/>
      <c r="L70" s="126"/>
      <c r="M70" s="126"/>
      <c r="N70" s="126"/>
      <c r="O70" s="126"/>
      <c r="P70" s="126"/>
      <c r="Q70" s="126"/>
      <c r="R70" s="126"/>
      <c r="S70" s="126"/>
      <c r="T70" s="126"/>
      <c r="U70" s="126"/>
      <c r="V70" s="126"/>
      <c r="W70" s="126"/>
      <c r="X70" s="126"/>
      <c r="Y70" s="126"/>
      <c r="Z70" s="259"/>
      <c r="AA70" s="260"/>
      <c r="AB70" s="79"/>
      <c r="AC70" s="79"/>
    </row>
    <row r="71" spans="1:29">
      <c r="A71" s="259"/>
      <c r="K71" s="126"/>
      <c r="L71" s="126"/>
      <c r="M71" s="126"/>
      <c r="N71" s="126"/>
      <c r="O71" s="126"/>
      <c r="P71" s="126"/>
      <c r="Q71" s="126"/>
      <c r="R71" s="126"/>
      <c r="S71" s="126"/>
      <c r="T71" s="126"/>
      <c r="U71" s="126"/>
      <c r="V71" s="126"/>
      <c r="W71" s="126"/>
      <c r="X71" s="126"/>
      <c r="Y71" s="126"/>
      <c r="Z71" s="259"/>
      <c r="AA71" s="260"/>
      <c r="AB71" s="79"/>
      <c r="AC71" s="79"/>
    </row>
    <row r="72" spans="1:29">
      <c r="A72" s="94"/>
      <c r="K72" s="126"/>
      <c r="L72" s="126"/>
      <c r="M72" s="126"/>
      <c r="N72" s="126"/>
      <c r="O72" s="126"/>
      <c r="P72" s="126"/>
      <c r="Q72" s="126"/>
      <c r="R72" s="126"/>
      <c r="S72" s="126"/>
      <c r="T72" s="126"/>
      <c r="U72" s="126"/>
      <c r="V72" s="126"/>
      <c r="W72" s="126"/>
      <c r="X72" s="126"/>
      <c r="Y72" s="126"/>
      <c r="Z72" s="94"/>
      <c r="AA72" s="260"/>
      <c r="AB72" s="79"/>
      <c r="AC72" s="79"/>
    </row>
    <row r="73" spans="1:29">
      <c r="A73" s="94"/>
      <c r="K73" s="126"/>
      <c r="L73" s="126"/>
      <c r="M73" s="126"/>
      <c r="N73" s="126"/>
      <c r="O73" s="126"/>
      <c r="P73" s="126"/>
      <c r="Q73" s="126"/>
      <c r="R73" s="126"/>
      <c r="S73" s="126"/>
      <c r="T73" s="126"/>
      <c r="U73" s="126"/>
      <c r="V73" s="126"/>
      <c r="W73" s="126"/>
      <c r="X73" s="126"/>
      <c r="Y73" s="126"/>
      <c r="Z73" s="94"/>
      <c r="AA73" s="260"/>
      <c r="AB73" s="79"/>
      <c r="AC73" s="79"/>
    </row>
    <row r="74" spans="1:29">
      <c r="A74" s="94"/>
      <c r="B74" s="94"/>
      <c r="C74" s="94"/>
      <c r="D74" s="94"/>
      <c r="E74" s="94"/>
      <c r="F74" s="94"/>
      <c r="G74" s="94"/>
      <c r="H74" s="94"/>
      <c r="I74" s="94"/>
      <c r="J74" s="94"/>
      <c r="K74" s="126"/>
      <c r="L74" s="126"/>
      <c r="M74" s="126"/>
      <c r="N74" s="126"/>
      <c r="O74" s="126"/>
      <c r="P74" s="126"/>
      <c r="Q74" s="126"/>
      <c r="R74" s="126"/>
      <c r="S74" s="126"/>
      <c r="T74" s="126"/>
      <c r="U74" s="126"/>
      <c r="V74" s="126"/>
      <c r="W74" s="126"/>
      <c r="X74" s="126"/>
      <c r="Y74" s="126"/>
      <c r="Z74" s="94"/>
      <c r="AA74" s="260"/>
      <c r="AB74" s="79"/>
      <c r="AC74" s="79"/>
    </row>
    <row r="75" spans="1:29">
      <c r="A75" s="94"/>
      <c r="C75" s="94"/>
      <c r="D75" s="94"/>
      <c r="E75" s="94"/>
      <c r="F75" s="94"/>
      <c r="G75" s="94"/>
      <c r="H75" s="94"/>
      <c r="I75" s="94"/>
      <c r="J75" s="94"/>
      <c r="K75" s="126"/>
      <c r="L75" s="126"/>
      <c r="M75" s="126"/>
      <c r="N75" s="126"/>
      <c r="O75" s="126"/>
      <c r="P75" s="126"/>
      <c r="Q75" s="126"/>
      <c r="R75" s="126"/>
      <c r="S75" s="126"/>
      <c r="T75" s="126"/>
      <c r="U75" s="126"/>
      <c r="V75" s="126"/>
      <c r="W75" s="126"/>
      <c r="X75" s="126"/>
      <c r="Y75" s="126"/>
      <c r="Z75" s="94"/>
      <c r="AA75" s="260"/>
      <c r="AB75" s="79"/>
      <c r="AC75" s="79"/>
    </row>
    <row r="76" spans="1:29">
      <c r="A76" s="94"/>
      <c r="B76" s="94"/>
      <c r="C76" s="94"/>
      <c r="D76" s="94"/>
      <c r="E76" s="94"/>
      <c r="F76" s="94"/>
      <c r="G76" s="94"/>
      <c r="H76" s="94"/>
      <c r="I76" s="94"/>
      <c r="J76" s="94"/>
      <c r="K76" s="126"/>
      <c r="L76" s="126"/>
      <c r="M76" s="126"/>
      <c r="N76" s="126"/>
      <c r="O76" s="126"/>
      <c r="P76" s="126"/>
      <c r="Q76" s="126"/>
      <c r="R76" s="126"/>
      <c r="S76" s="126"/>
      <c r="T76" s="126"/>
      <c r="U76" s="126"/>
      <c r="V76" s="126"/>
      <c r="W76" s="126"/>
      <c r="X76" s="126"/>
      <c r="Y76" s="126"/>
      <c r="Z76" s="94"/>
      <c r="AA76" s="260"/>
      <c r="AB76" s="79"/>
      <c r="AC76" s="79"/>
    </row>
    <row r="77" spans="1:29">
      <c r="A77" s="94"/>
      <c r="B77" s="94"/>
      <c r="C77" s="94"/>
      <c r="D77" s="94"/>
      <c r="E77" s="94"/>
      <c r="F77" s="94"/>
      <c r="G77" s="94"/>
      <c r="H77" s="94"/>
      <c r="I77" s="94"/>
      <c r="J77" s="94"/>
      <c r="K77" s="126"/>
      <c r="L77" s="126"/>
      <c r="M77" s="126"/>
      <c r="N77" s="126"/>
      <c r="O77" s="126"/>
      <c r="P77" s="126"/>
      <c r="Q77" s="126"/>
      <c r="R77" s="126"/>
      <c r="S77" s="126"/>
      <c r="T77" s="126"/>
      <c r="U77" s="126"/>
      <c r="V77" s="126"/>
      <c r="W77" s="126"/>
      <c r="X77" s="126"/>
      <c r="Y77" s="126"/>
      <c r="Z77" s="94"/>
      <c r="AA77" s="260"/>
      <c r="AB77" s="79"/>
      <c r="AC77" s="79"/>
    </row>
    <row r="78" spans="1:29">
      <c r="A78" s="94"/>
      <c r="B78" s="94"/>
      <c r="C78" s="94"/>
      <c r="D78" s="94"/>
      <c r="E78" s="94"/>
      <c r="F78" s="94"/>
      <c r="G78" s="94"/>
      <c r="H78" s="94"/>
      <c r="I78" s="94"/>
      <c r="J78" s="94"/>
      <c r="K78" s="126"/>
      <c r="L78" s="126"/>
      <c r="M78" s="126"/>
      <c r="N78" s="126"/>
      <c r="O78" s="126"/>
      <c r="P78" s="126"/>
      <c r="Q78" s="126"/>
      <c r="R78" s="126"/>
      <c r="S78" s="126"/>
      <c r="T78" s="126"/>
      <c r="U78" s="126"/>
      <c r="V78" s="126"/>
      <c r="W78" s="126"/>
      <c r="X78" s="126"/>
      <c r="Y78" s="126"/>
      <c r="Z78" s="94"/>
      <c r="AA78" s="260"/>
      <c r="AB78" s="79"/>
      <c r="AC78" s="79"/>
    </row>
    <row r="79" spans="1:29">
      <c r="A79" s="94"/>
      <c r="B79" s="94"/>
      <c r="C79" s="94"/>
      <c r="D79" s="94"/>
      <c r="E79" s="94"/>
      <c r="F79" s="94"/>
      <c r="G79" s="94"/>
      <c r="H79" s="94"/>
      <c r="I79" s="94"/>
      <c r="J79" s="94"/>
      <c r="K79" s="94"/>
      <c r="M79" s="94"/>
      <c r="N79" s="94"/>
      <c r="O79" s="94"/>
      <c r="P79" s="94"/>
      <c r="Q79" s="94"/>
      <c r="R79" s="94"/>
      <c r="S79" s="94"/>
      <c r="T79" s="94"/>
      <c r="U79" s="94"/>
      <c r="V79" s="94"/>
      <c r="W79" s="94"/>
      <c r="X79" s="94"/>
      <c r="Y79" s="94"/>
      <c r="Z79" s="94"/>
      <c r="AA79" s="260"/>
      <c r="AB79" s="79"/>
      <c r="AC79" s="79"/>
    </row>
    <row r="80" spans="1:29">
      <c r="A80" s="94"/>
      <c r="B80" s="94"/>
      <c r="C80" s="94"/>
      <c r="D80" s="94"/>
      <c r="E80" s="94"/>
      <c r="F80" s="261"/>
      <c r="G80" s="94"/>
      <c r="H80" s="94"/>
      <c r="I80" s="94"/>
      <c r="J80" s="94"/>
      <c r="K80" s="94"/>
      <c r="M80" s="94"/>
      <c r="N80" s="94"/>
      <c r="O80" s="94"/>
      <c r="P80" s="94"/>
      <c r="Q80" s="94"/>
      <c r="R80" s="94"/>
      <c r="S80" s="94"/>
      <c r="T80" s="94"/>
      <c r="U80" s="94"/>
      <c r="V80" s="94"/>
      <c r="W80" s="94"/>
      <c r="X80" s="94"/>
      <c r="Y80" s="94"/>
      <c r="Z80" s="94"/>
      <c r="AA80" s="260"/>
      <c r="AB80" s="79"/>
      <c r="AC80" s="79"/>
    </row>
    <row r="81" spans="1:29">
      <c r="A81" s="94"/>
      <c r="B81" s="94"/>
      <c r="C81" s="94"/>
      <c r="D81" s="94"/>
      <c r="E81" s="94"/>
      <c r="F81" s="94"/>
      <c r="G81" s="94"/>
      <c r="H81" s="94"/>
      <c r="I81" s="94"/>
      <c r="J81" s="94"/>
      <c r="K81" s="94"/>
      <c r="M81" s="94"/>
      <c r="N81" s="94"/>
      <c r="O81" s="94"/>
      <c r="P81" s="94"/>
      <c r="Q81" s="94"/>
      <c r="R81" s="94"/>
      <c r="S81" s="94"/>
      <c r="T81" s="94"/>
      <c r="U81" s="94"/>
      <c r="V81" s="94"/>
      <c r="W81" s="94"/>
      <c r="X81" s="94"/>
      <c r="Y81" s="94"/>
      <c r="Z81" s="94"/>
      <c r="AA81" s="260"/>
      <c r="AB81" s="79"/>
      <c r="AC81" s="79"/>
    </row>
    <row r="82" spans="1:29">
      <c r="A82" s="94"/>
      <c r="B82" s="94"/>
      <c r="C82" s="94"/>
      <c r="D82" s="94"/>
      <c r="E82" s="94"/>
      <c r="F82" s="94"/>
      <c r="G82" s="94"/>
      <c r="H82" s="94"/>
      <c r="I82" s="94"/>
      <c r="J82" s="94"/>
      <c r="K82" s="94"/>
      <c r="M82" s="94"/>
      <c r="N82" s="94"/>
      <c r="O82" s="94"/>
      <c r="P82" s="94"/>
      <c r="Q82" s="94"/>
      <c r="R82" s="94"/>
      <c r="S82" s="94"/>
      <c r="T82" s="94"/>
      <c r="U82" s="94"/>
      <c r="V82" s="94"/>
      <c r="W82" s="94"/>
      <c r="X82" s="94"/>
      <c r="Y82" s="94"/>
      <c r="Z82" s="94"/>
      <c r="AA82" s="260"/>
      <c r="AB82" s="79"/>
      <c r="AC82" s="79"/>
    </row>
    <row r="83" spans="1:29">
      <c r="A83" s="94"/>
      <c r="B83" s="94"/>
      <c r="C83" s="94"/>
      <c r="D83" s="94"/>
      <c r="E83" s="94"/>
      <c r="F83" s="94"/>
      <c r="G83" s="94"/>
      <c r="H83" s="94"/>
      <c r="I83" s="94"/>
      <c r="J83" s="94"/>
      <c r="K83" s="94"/>
      <c r="M83" s="94"/>
      <c r="N83" s="94"/>
      <c r="O83" s="94"/>
      <c r="P83" s="94"/>
      <c r="Q83" s="94"/>
      <c r="R83" s="94"/>
      <c r="S83" s="94"/>
      <c r="T83" s="94"/>
      <c r="U83" s="94"/>
      <c r="V83" s="94"/>
      <c r="W83" s="94"/>
      <c r="X83" s="94"/>
      <c r="Y83" s="94"/>
      <c r="Z83" s="94"/>
      <c r="AA83" s="260"/>
      <c r="AB83" s="79"/>
      <c r="AC83" s="79"/>
    </row>
    <row r="84" spans="1:29">
      <c r="A84" s="94"/>
      <c r="B84" s="94"/>
      <c r="C84" s="94"/>
      <c r="D84" s="94"/>
      <c r="E84" s="94"/>
      <c r="F84" s="94"/>
      <c r="G84" s="94"/>
      <c r="H84" s="94"/>
      <c r="I84" s="94"/>
      <c r="J84" s="94"/>
      <c r="K84" s="94"/>
      <c r="M84" s="94"/>
      <c r="N84" s="94"/>
      <c r="O84" s="94"/>
      <c r="P84" s="94"/>
      <c r="Q84" s="94"/>
      <c r="R84" s="94"/>
      <c r="S84" s="94"/>
      <c r="T84" s="94"/>
      <c r="U84" s="94"/>
      <c r="V84" s="94"/>
      <c r="W84" s="94"/>
      <c r="X84" s="94"/>
      <c r="Y84" s="94"/>
      <c r="Z84" s="94"/>
      <c r="AA84" s="260"/>
      <c r="AB84" s="79"/>
      <c r="AC84" s="79"/>
    </row>
    <row r="85" spans="1:29">
      <c r="A85" s="94"/>
      <c r="B85" s="94"/>
      <c r="C85" s="94"/>
      <c r="D85" s="94"/>
      <c r="E85" s="94"/>
      <c r="F85" s="94"/>
      <c r="G85" s="94"/>
      <c r="H85" s="94"/>
      <c r="I85" s="94"/>
      <c r="J85" s="94"/>
      <c r="K85" s="94"/>
      <c r="M85" s="94"/>
      <c r="N85" s="94"/>
      <c r="O85" s="94"/>
      <c r="P85" s="94"/>
      <c r="Q85" s="94"/>
      <c r="R85" s="94"/>
      <c r="S85" s="94"/>
      <c r="T85" s="94"/>
      <c r="U85" s="94"/>
      <c r="V85" s="94"/>
      <c r="W85" s="94"/>
      <c r="X85" s="94"/>
      <c r="Y85" s="94"/>
      <c r="Z85" s="94"/>
      <c r="AA85" s="260"/>
      <c r="AB85" s="79"/>
      <c r="AC85" s="79"/>
    </row>
    <row r="86" spans="1:29">
      <c r="A86" s="94"/>
      <c r="B86" s="94"/>
      <c r="C86" s="94"/>
      <c r="D86" s="94"/>
      <c r="E86" s="94"/>
      <c r="F86" s="94"/>
      <c r="G86" s="94"/>
      <c r="H86" s="94"/>
      <c r="I86" s="94"/>
      <c r="J86" s="94"/>
      <c r="K86" s="94"/>
      <c r="M86" s="94"/>
      <c r="N86" s="94"/>
      <c r="O86" s="94"/>
      <c r="P86" s="94"/>
      <c r="Q86" s="94"/>
      <c r="R86" s="94"/>
      <c r="S86" s="94"/>
      <c r="T86" s="94"/>
      <c r="U86" s="94"/>
      <c r="V86" s="94"/>
      <c r="W86" s="94"/>
      <c r="X86" s="94"/>
      <c r="Y86" s="94"/>
      <c r="Z86" s="94"/>
      <c r="AA86" s="260"/>
      <c r="AB86" s="79"/>
      <c r="AC86" s="79"/>
    </row>
    <row r="87" spans="1:29">
      <c r="A87" s="94"/>
      <c r="B87" s="94"/>
      <c r="C87" s="94"/>
      <c r="D87" s="94"/>
      <c r="E87" s="94"/>
      <c r="F87" s="94"/>
      <c r="G87" s="94"/>
      <c r="H87" s="94"/>
      <c r="I87" s="94"/>
      <c r="J87" s="94"/>
      <c r="K87" s="94"/>
      <c r="M87" s="94"/>
      <c r="N87" s="94"/>
      <c r="O87" s="94"/>
      <c r="P87" s="94"/>
      <c r="Q87" s="94"/>
      <c r="R87" s="94"/>
      <c r="S87" s="94"/>
      <c r="T87" s="94"/>
      <c r="U87" s="94"/>
      <c r="V87" s="94"/>
      <c r="W87" s="94"/>
      <c r="X87" s="94"/>
      <c r="Y87" s="94"/>
      <c r="Z87" s="94"/>
      <c r="AA87" s="260"/>
      <c r="AB87" s="79"/>
      <c r="AC87" s="79"/>
    </row>
    <row r="88" spans="1:29">
      <c r="A88" s="94"/>
      <c r="B88" s="94"/>
      <c r="C88" s="94"/>
      <c r="D88" s="94"/>
      <c r="E88" s="94"/>
      <c r="F88" s="94"/>
      <c r="G88" s="94"/>
      <c r="H88" s="94"/>
      <c r="I88" s="94"/>
      <c r="J88" s="94"/>
      <c r="K88" s="126"/>
      <c r="M88" s="126"/>
      <c r="N88" s="126"/>
      <c r="O88" s="126"/>
      <c r="P88" s="126"/>
      <c r="Q88" s="126"/>
      <c r="R88" s="126"/>
      <c r="S88" s="94"/>
      <c r="T88" s="94"/>
      <c r="U88" s="94"/>
      <c r="V88" s="94"/>
      <c r="W88" s="94"/>
      <c r="X88" s="94"/>
      <c r="Y88" s="94"/>
      <c r="Z88" s="94"/>
      <c r="AA88" s="260"/>
      <c r="AB88" s="79"/>
      <c r="AC88" s="79"/>
    </row>
    <row r="89" spans="1:29">
      <c r="A89" s="94"/>
      <c r="B89" s="94"/>
      <c r="C89" s="94"/>
      <c r="D89" s="94"/>
      <c r="E89" s="94"/>
      <c r="F89" s="94"/>
      <c r="G89" s="94"/>
      <c r="H89" s="94"/>
      <c r="I89" s="94"/>
      <c r="J89" s="94"/>
      <c r="K89" s="126"/>
      <c r="M89" s="126"/>
      <c r="N89" s="126"/>
      <c r="O89" s="126"/>
      <c r="P89" s="126"/>
      <c r="Q89" s="126"/>
      <c r="R89" s="126"/>
      <c r="S89" s="94"/>
      <c r="T89" s="94"/>
      <c r="U89" s="94"/>
      <c r="V89" s="94"/>
      <c r="W89" s="94"/>
      <c r="X89" s="94"/>
      <c r="Y89" s="94"/>
      <c r="Z89" s="94"/>
      <c r="AA89" s="260"/>
      <c r="AB89" s="79"/>
      <c r="AC89" s="79"/>
    </row>
    <row r="90" spans="1:29">
      <c r="A90" s="94"/>
      <c r="B90" s="94"/>
      <c r="C90" s="94"/>
      <c r="D90" s="94"/>
      <c r="E90" s="94"/>
      <c r="F90" s="94"/>
      <c r="G90" s="94"/>
      <c r="H90" s="94"/>
      <c r="I90" s="94"/>
      <c r="J90" s="94"/>
      <c r="K90" s="126"/>
      <c r="M90" s="126"/>
      <c r="N90" s="126"/>
      <c r="O90" s="126"/>
      <c r="P90" s="126"/>
      <c r="Q90" s="126"/>
      <c r="R90" s="126"/>
      <c r="S90" s="94"/>
      <c r="T90" s="94"/>
      <c r="U90" s="94"/>
      <c r="V90" s="94"/>
      <c r="W90" s="94"/>
      <c r="X90" s="94"/>
      <c r="Y90" s="94"/>
      <c r="Z90" s="94"/>
      <c r="AA90" s="260"/>
      <c r="AB90" s="79"/>
      <c r="AC90" s="79"/>
    </row>
    <row r="91" spans="1:29">
      <c r="A91" s="94"/>
      <c r="B91" s="94"/>
      <c r="C91" s="94"/>
      <c r="D91" s="94"/>
      <c r="E91" s="94"/>
      <c r="F91" s="94"/>
      <c r="G91" s="94"/>
      <c r="H91" s="94"/>
      <c r="I91" s="94"/>
      <c r="J91" s="94"/>
      <c r="K91" s="126"/>
      <c r="M91" s="126"/>
      <c r="N91" s="126"/>
      <c r="O91" s="126"/>
      <c r="P91" s="126"/>
      <c r="Q91" s="126"/>
      <c r="R91" s="126"/>
      <c r="S91" s="94"/>
      <c r="T91" s="94"/>
      <c r="U91" s="94"/>
      <c r="V91" s="94"/>
      <c r="W91" s="94"/>
      <c r="X91" s="94"/>
      <c r="Y91" s="94"/>
      <c r="Z91" s="94"/>
      <c r="AA91" s="260"/>
      <c r="AB91" s="79"/>
      <c r="AC91" s="79"/>
    </row>
    <row r="92" spans="1:29">
      <c r="A92" s="94"/>
      <c r="B92" s="94"/>
      <c r="C92" s="94"/>
      <c r="D92" s="94"/>
      <c r="E92" s="94"/>
      <c r="F92" s="94"/>
      <c r="G92" s="94"/>
      <c r="H92" s="94"/>
      <c r="I92" s="94"/>
      <c r="J92" s="94"/>
      <c r="K92" s="126"/>
      <c r="M92" s="126"/>
      <c r="N92" s="126"/>
      <c r="O92" s="126"/>
      <c r="P92" s="126"/>
      <c r="Q92" s="126"/>
      <c r="R92" s="126"/>
      <c r="S92" s="94"/>
      <c r="T92" s="94"/>
      <c r="U92" s="94"/>
      <c r="V92" s="94"/>
      <c r="W92" s="94"/>
      <c r="X92" s="94"/>
      <c r="Y92" s="94"/>
      <c r="Z92" s="94"/>
      <c r="AA92" s="260"/>
      <c r="AB92" s="79"/>
      <c r="AC92" s="79"/>
    </row>
    <row r="93" spans="1:29">
      <c r="A93" s="94"/>
      <c r="B93" s="94"/>
      <c r="C93" s="94"/>
      <c r="D93" s="94"/>
      <c r="E93" s="94"/>
      <c r="F93" s="94"/>
      <c r="G93" s="94"/>
      <c r="H93" s="94"/>
      <c r="I93" s="94"/>
      <c r="J93" s="94"/>
      <c r="K93" s="94"/>
      <c r="M93" s="94"/>
      <c r="N93" s="94"/>
      <c r="O93" s="94"/>
      <c r="P93" s="94"/>
      <c r="Q93" s="94"/>
      <c r="R93" s="94"/>
      <c r="S93" s="94"/>
      <c r="T93" s="94"/>
      <c r="U93" s="94"/>
      <c r="V93" s="94"/>
      <c r="W93" s="94"/>
      <c r="X93" s="94"/>
      <c r="Y93" s="94"/>
      <c r="Z93" s="94"/>
      <c r="AA93" s="260"/>
      <c r="AB93" s="79"/>
      <c r="AC93" s="79"/>
    </row>
    <row r="94" spans="1:29">
      <c r="A94" s="94"/>
      <c r="B94" s="94"/>
      <c r="C94" s="94"/>
      <c r="D94" s="94"/>
      <c r="E94" s="94"/>
      <c r="F94" s="94"/>
      <c r="G94" s="94"/>
      <c r="H94" s="94"/>
      <c r="I94" s="94"/>
      <c r="J94" s="94"/>
      <c r="K94" s="94"/>
      <c r="M94" s="94"/>
      <c r="N94" s="94"/>
      <c r="O94" s="94"/>
      <c r="P94" s="94"/>
      <c r="Q94" s="94"/>
      <c r="R94" s="94"/>
      <c r="S94" s="94"/>
      <c r="T94" s="94"/>
      <c r="U94" s="94"/>
      <c r="V94" s="94"/>
      <c r="W94" s="94"/>
      <c r="X94" s="94"/>
      <c r="Y94" s="94"/>
      <c r="Z94" s="94"/>
      <c r="AA94" s="260"/>
      <c r="AB94" s="79"/>
      <c r="AC94" s="79"/>
    </row>
    <row r="95" spans="1:29">
      <c r="A95" s="94"/>
      <c r="B95" s="94"/>
      <c r="C95" s="94"/>
      <c r="D95" s="94"/>
      <c r="E95" s="94"/>
      <c r="F95" s="94"/>
      <c r="G95" s="94"/>
      <c r="H95" s="94"/>
      <c r="I95" s="94"/>
      <c r="J95" s="94"/>
      <c r="K95" s="94"/>
      <c r="M95" s="94"/>
      <c r="N95" s="94"/>
      <c r="O95" s="94"/>
      <c r="P95" s="94"/>
      <c r="Q95" s="94"/>
      <c r="R95" s="94"/>
      <c r="S95" s="94"/>
      <c r="T95" s="94"/>
      <c r="U95" s="94"/>
      <c r="V95" s="94"/>
      <c r="W95" s="94"/>
      <c r="X95" s="94"/>
      <c r="Y95" s="94"/>
      <c r="Z95" s="94"/>
      <c r="AA95" s="260"/>
      <c r="AB95" s="79"/>
      <c r="AC95" s="79"/>
    </row>
    <row r="96" spans="1:29">
      <c r="A96" s="94"/>
      <c r="B96" s="94"/>
      <c r="C96" s="94"/>
      <c r="D96" s="94"/>
      <c r="E96" s="94"/>
      <c r="F96" s="94"/>
      <c r="G96" s="94"/>
      <c r="H96" s="94"/>
      <c r="I96" s="94"/>
      <c r="J96" s="94"/>
      <c r="K96" s="94"/>
      <c r="M96" s="94"/>
      <c r="N96" s="94"/>
      <c r="O96" s="94"/>
      <c r="P96" s="94"/>
      <c r="Q96" s="94"/>
      <c r="R96" s="94"/>
      <c r="S96" s="94"/>
      <c r="T96" s="94"/>
      <c r="U96" s="94"/>
      <c r="V96" s="94"/>
      <c r="W96" s="94"/>
      <c r="X96" s="94"/>
      <c r="Y96" s="94"/>
      <c r="Z96" s="94"/>
      <c r="AA96" s="260"/>
      <c r="AB96" s="79"/>
      <c r="AC96" s="79"/>
    </row>
    <row r="97" spans="1:29">
      <c r="A97" s="94"/>
      <c r="B97" s="94"/>
      <c r="C97" s="94"/>
      <c r="D97" s="94"/>
      <c r="E97" s="94"/>
      <c r="F97" s="94"/>
      <c r="G97" s="94"/>
      <c r="H97" s="94"/>
      <c r="I97" s="94"/>
      <c r="J97" s="94"/>
      <c r="K97" s="94"/>
      <c r="M97" s="94"/>
      <c r="N97" s="94"/>
      <c r="O97" s="94"/>
      <c r="P97" s="94"/>
      <c r="Q97" s="94"/>
      <c r="R97" s="94"/>
      <c r="S97" s="94"/>
      <c r="T97" s="94"/>
      <c r="U97" s="94"/>
      <c r="V97" s="94"/>
      <c r="W97" s="94"/>
      <c r="X97" s="94"/>
      <c r="Y97" s="94"/>
      <c r="Z97" s="94"/>
      <c r="AA97" s="260"/>
      <c r="AB97" s="79"/>
      <c r="AC97" s="79"/>
    </row>
    <row r="98" spans="1:29">
      <c r="A98" s="94"/>
      <c r="B98" s="94"/>
      <c r="C98" s="94"/>
      <c r="D98" s="94"/>
      <c r="E98" s="94"/>
      <c r="F98" s="94"/>
      <c r="G98" s="94"/>
      <c r="H98" s="94"/>
      <c r="I98" s="94"/>
      <c r="J98" s="94"/>
      <c r="K98" s="94"/>
      <c r="M98" s="94"/>
      <c r="N98" s="94"/>
      <c r="O98" s="94"/>
      <c r="P98" s="94"/>
      <c r="Q98" s="94"/>
      <c r="R98" s="94"/>
      <c r="S98" s="94"/>
      <c r="T98" s="94"/>
      <c r="U98" s="94"/>
      <c r="V98" s="94"/>
      <c r="W98" s="94"/>
      <c r="X98" s="94"/>
      <c r="Y98" s="94"/>
      <c r="Z98" s="94"/>
      <c r="AA98" s="260"/>
      <c r="AB98" s="79"/>
      <c r="AC98" s="79"/>
    </row>
    <row r="99" spans="1:29">
      <c r="A99" s="94"/>
      <c r="B99" s="94"/>
      <c r="C99" s="94"/>
      <c r="D99" s="94"/>
      <c r="E99" s="94"/>
      <c r="F99" s="94"/>
      <c r="G99" s="94"/>
      <c r="H99" s="94"/>
      <c r="I99" s="94"/>
      <c r="J99" s="94"/>
      <c r="K99" s="94"/>
      <c r="M99" s="94"/>
      <c r="N99" s="94"/>
      <c r="O99" s="94"/>
      <c r="P99" s="94"/>
      <c r="Q99" s="94"/>
      <c r="R99" s="94"/>
      <c r="S99" s="94"/>
      <c r="T99" s="94"/>
      <c r="U99" s="94"/>
      <c r="V99" s="94"/>
      <c r="W99" s="94"/>
      <c r="X99" s="94"/>
      <c r="Y99" s="94"/>
      <c r="Z99" s="94"/>
      <c r="AA99" s="260"/>
      <c r="AB99" s="79"/>
      <c r="AC99" s="79"/>
    </row>
    <row r="100" spans="1:29">
      <c r="A100" s="94"/>
      <c r="B100" s="94"/>
      <c r="C100" s="94"/>
      <c r="D100" s="94"/>
      <c r="E100" s="94"/>
      <c r="F100" s="94"/>
      <c r="G100" s="94"/>
      <c r="H100" s="94"/>
      <c r="I100" s="94"/>
      <c r="J100" s="94"/>
      <c r="K100" s="94"/>
      <c r="M100" s="94"/>
      <c r="N100" s="94"/>
      <c r="O100" s="94"/>
      <c r="P100" s="94"/>
      <c r="Q100" s="94"/>
      <c r="R100" s="94"/>
      <c r="S100" s="94"/>
      <c r="T100" s="94"/>
      <c r="U100" s="94"/>
      <c r="V100" s="94"/>
      <c r="W100" s="94"/>
      <c r="X100" s="94"/>
      <c r="Y100" s="94"/>
      <c r="Z100" s="94"/>
      <c r="AA100" s="260"/>
      <c r="AB100" s="79"/>
      <c r="AC100" s="79"/>
    </row>
    <row r="101" spans="1:29">
      <c r="A101" s="94"/>
      <c r="B101" s="94"/>
      <c r="C101" s="94"/>
      <c r="D101" s="94"/>
      <c r="E101" s="94"/>
      <c r="F101" s="94"/>
      <c r="G101" s="94"/>
      <c r="H101" s="94"/>
      <c r="I101" s="94"/>
      <c r="J101" s="94"/>
      <c r="K101" s="94"/>
      <c r="M101" s="94"/>
      <c r="N101" s="94"/>
      <c r="O101" s="94"/>
      <c r="P101" s="94"/>
      <c r="Q101" s="94"/>
      <c r="R101" s="94"/>
      <c r="S101" s="94"/>
      <c r="T101" s="94"/>
      <c r="U101" s="94"/>
      <c r="V101" s="94"/>
      <c r="W101" s="94"/>
      <c r="X101" s="94"/>
      <c r="Y101" s="94"/>
      <c r="Z101" s="94"/>
      <c r="AA101" s="260"/>
      <c r="AB101" s="79"/>
      <c r="AC101" s="79"/>
    </row>
    <row r="102" spans="1:29">
      <c r="A102" s="94"/>
      <c r="B102" s="94"/>
      <c r="C102" s="94"/>
      <c r="D102" s="94"/>
      <c r="E102" s="94"/>
      <c r="F102" s="94"/>
      <c r="G102" s="94"/>
      <c r="H102" s="94"/>
      <c r="I102" s="94"/>
      <c r="J102" s="94"/>
      <c r="K102" s="94"/>
      <c r="M102" s="94"/>
      <c r="N102" s="94"/>
      <c r="O102" s="94"/>
      <c r="P102" s="94"/>
      <c r="Q102" s="94"/>
      <c r="R102" s="94"/>
      <c r="S102" s="94"/>
      <c r="T102" s="94"/>
      <c r="U102" s="94"/>
      <c r="V102" s="94"/>
      <c r="W102" s="94"/>
      <c r="X102" s="94"/>
      <c r="Y102" s="94"/>
      <c r="Z102" s="94"/>
      <c r="AA102" s="260"/>
      <c r="AB102" s="79"/>
      <c r="AC102" s="79"/>
    </row>
    <row r="103" spans="1:29">
      <c r="A103" s="94"/>
      <c r="B103" s="94"/>
      <c r="C103" s="94"/>
      <c r="D103" s="94"/>
      <c r="E103" s="94"/>
      <c r="F103" s="94"/>
      <c r="G103" s="94"/>
      <c r="H103" s="94"/>
      <c r="I103" s="94"/>
      <c r="J103" s="94"/>
      <c r="K103" s="94"/>
      <c r="M103" s="94"/>
      <c r="N103" s="94"/>
      <c r="O103" s="94"/>
      <c r="P103" s="94"/>
      <c r="Q103" s="94"/>
      <c r="R103" s="94"/>
      <c r="S103" s="94"/>
      <c r="T103" s="94"/>
      <c r="U103" s="94"/>
      <c r="V103" s="94"/>
      <c r="W103" s="94"/>
      <c r="X103" s="94"/>
      <c r="Y103" s="94"/>
      <c r="Z103" s="94"/>
      <c r="AA103" s="260"/>
      <c r="AB103" s="79"/>
      <c r="AC103" s="79"/>
    </row>
    <row r="104" spans="1:29">
      <c r="A104" s="94"/>
      <c r="B104" s="94"/>
      <c r="C104" s="94"/>
      <c r="D104" s="94"/>
      <c r="E104" s="94"/>
      <c r="F104" s="94"/>
      <c r="G104" s="94"/>
      <c r="H104" s="94"/>
      <c r="I104" s="94"/>
      <c r="J104" s="94"/>
      <c r="K104" s="94"/>
      <c r="M104" s="94"/>
      <c r="N104" s="94"/>
      <c r="O104" s="94"/>
      <c r="P104" s="94"/>
      <c r="Q104" s="94"/>
      <c r="R104" s="94"/>
      <c r="S104" s="94"/>
      <c r="T104" s="94"/>
      <c r="U104" s="94"/>
      <c r="V104" s="94"/>
      <c r="W104" s="94"/>
      <c r="X104" s="94"/>
      <c r="Y104" s="94"/>
      <c r="Z104" s="94"/>
      <c r="AA104" s="260"/>
      <c r="AB104" s="79"/>
      <c r="AC104" s="79"/>
    </row>
    <row r="105" spans="1:29">
      <c r="A105" s="94"/>
      <c r="B105" s="94"/>
      <c r="C105" s="94"/>
      <c r="D105" s="94"/>
      <c r="E105" s="94"/>
      <c r="F105" s="94"/>
      <c r="G105" s="94"/>
      <c r="H105" s="94"/>
      <c r="I105" s="94"/>
      <c r="J105" s="94"/>
      <c r="K105" s="94"/>
      <c r="M105" s="94"/>
      <c r="N105" s="94"/>
      <c r="O105" s="94"/>
      <c r="P105" s="94"/>
      <c r="Q105" s="94"/>
      <c r="R105" s="94"/>
      <c r="S105" s="94"/>
      <c r="T105" s="94"/>
      <c r="U105" s="94"/>
      <c r="V105" s="94"/>
      <c r="W105" s="94"/>
      <c r="X105" s="94"/>
      <c r="Y105" s="94"/>
      <c r="Z105" s="94"/>
      <c r="AA105" s="260"/>
      <c r="AB105" s="79"/>
      <c r="AC105" s="79"/>
    </row>
    <row r="106" spans="1:29">
      <c r="A106" s="94"/>
      <c r="B106" s="94"/>
      <c r="C106" s="94"/>
      <c r="D106" s="94"/>
      <c r="E106" s="94"/>
      <c r="F106" s="94"/>
      <c r="G106" s="94"/>
      <c r="H106" s="94"/>
      <c r="I106" s="94"/>
      <c r="J106" s="94"/>
      <c r="K106" s="94"/>
      <c r="M106" s="94"/>
      <c r="N106" s="94"/>
      <c r="O106" s="94"/>
      <c r="P106" s="94"/>
      <c r="Q106" s="94"/>
      <c r="R106" s="94"/>
      <c r="S106" s="94"/>
      <c r="T106" s="94"/>
      <c r="U106" s="94"/>
      <c r="V106" s="94"/>
      <c r="W106" s="94"/>
      <c r="X106" s="94"/>
      <c r="Y106" s="94"/>
      <c r="Z106" s="94"/>
      <c r="AA106" s="260"/>
      <c r="AB106" s="79"/>
      <c r="AC106" s="79"/>
    </row>
    <row r="107" spans="1:29">
      <c r="A107" s="94"/>
      <c r="B107" s="94"/>
      <c r="C107" s="94"/>
      <c r="D107" s="94"/>
      <c r="E107" s="94"/>
      <c r="F107" s="94"/>
      <c r="G107" s="94"/>
      <c r="H107" s="94"/>
      <c r="I107" s="94"/>
      <c r="J107" s="94"/>
      <c r="K107" s="94"/>
      <c r="M107" s="94"/>
      <c r="N107" s="94"/>
      <c r="O107" s="94"/>
      <c r="P107" s="94"/>
      <c r="Q107" s="94"/>
      <c r="R107" s="94"/>
      <c r="S107" s="94"/>
      <c r="T107" s="94"/>
      <c r="U107" s="94"/>
      <c r="V107" s="94"/>
      <c r="W107" s="94"/>
      <c r="X107" s="94"/>
      <c r="Y107" s="94"/>
      <c r="Z107" s="94"/>
      <c r="AA107" s="260"/>
      <c r="AB107" s="79"/>
      <c r="AC107" s="79"/>
    </row>
    <row r="108" spans="1:29">
      <c r="A108" s="94"/>
      <c r="B108" s="94"/>
      <c r="C108" s="94"/>
      <c r="D108" s="94"/>
      <c r="E108" s="94"/>
      <c r="F108" s="94"/>
      <c r="G108" s="94"/>
      <c r="H108" s="94"/>
      <c r="I108" s="94"/>
      <c r="J108" s="94"/>
      <c r="K108" s="94"/>
      <c r="M108" s="94"/>
      <c r="N108" s="94"/>
      <c r="O108" s="94"/>
      <c r="P108" s="94"/>
      <c r="Q108" s="94"/>
      <c r="R108" s="94"/>
      <c r="S108" s="94"/>
      <c r="T108" s="94"/>
      <c r="U108" s="94"/>
      <c r="V108" s="94"/>
      <c r="W108" s="94"/>
      <c r="X108" s="94"/>
      <c r="Y108" s="94"/>
      <c r="Z108" s="94"/>
      <c r="AA108" s="260"/>
      <c r="AB108" s="79"/>
      <c r="AC108" s="79"/>
    </row>
    <row r="109" spans="1:29" ht="13">
      <c r="A109" s="94"/>
      <c r="B109" s="94"/>
      <c r="C109" s="94"/>
      <c r="D109" s="94"/>
      <c r="E109" s="94"/>
      <c r="F109" s="94"/>
      <c r="G109" s="94"/>
      <c r="H109" s="94"/>
      <c r="I109" s="95"/>
      <c r="J109" s="94"/>
      <c r="K109" s="94"/>
      <c r="M109" s="94"/>
      <c r="N109" s="94"/>
      <c r="O109" s="94"/>
      <c r="P109" s="94"/>
      <c r="Q109" s="94"/>
      <c r="R109" s="94"/>
      <c r="S109" s="94"/>
      <c r="T109" s="94"/>
      <c r="U109" s="94"/>
      <c r="V109" s="94"/>
      <c r="W109" s="94"/>
      <c r="X109" s="94"/>
      <c r="Y109" s="94"/>
      <c r="Z109" s="94"/>
      <c r="AA109" s="260"/>
      <c r="AB109" s="79"/>
      <c r="AC109" s="79"/>
    </row>
    <row r="110" spans="1:29">
      <c r="A110" s="94"/>
      <c r="B110" s="94"/>
      <c r="C110" s="94"/>
      <c r="D110" s="94"/>
      <c r="E110" s="94"/>
      <c r="F110" s="94"/>
      <c r="G110" s="94"/>
      <c r="H110" s="94"/>
      <c r="I110" s="94"/>
      <c r="J110" s="94"/>
      <c r="K110" s="94"/>
      <c r="L110" s="129"/>
      <c r="M110" s="94"/>
      <c r="N110" s="94"/>
      <c r="O110" s="94"/>
      <c r="P110" s="94"/>
      <c r="Q110" s="94"/>
      <c r="R110" s="94"/>
      <c r="S110" s="94"/>
      <c r="T110" s="94"/>
      <c r="U110" s="94"/>
      <c r="V110" s="94"/>
      <c r="W110" s="94"/>
      <c r="X110" s="94"/>
      <c r="Y110" s="94"/>
      <c r="Z110" s="94"/>
      <c r="AA110" s="260"/>
      <c r="AB110" s="79"/>
      <c r="AC110" s="79"/>
    </row>
    <row r="111" spans="1:29">
      <c r="A111" s="94"/>
      <c r="B111" s="94"/>
      <c r="C111" s="94"/>
      <c r="D111" s="94"/>
      <c r="E111" s="94"/>
      <c r="F111" s="94"/>
      <c r="G111" s="94"/>
      <c r="H111" s="94"/>
      <c r="I111" s="94"/>
      <c r="J111" s="94"/>
      <c r="K111" s="94"/>
      <c r="M111" s="94"/>
      <c r="N111" s="94"/>
      <c r="O111" s="94"/>
      <c r="P111" s="94"/>
      <c r="Q111" s="94"/>
      <c r="R111" s="94"/>
      <c r="S111" s="94"/>
      <c r="T111" s="94"/>
      <c r="U111" s="94"/>
      <c r="V111" s="94"/>
      <c r="W111" s="94"/>
      <c r="X111" s="94"/>
      <c r="Y111" s="94"/>
      <c r="Z111" s="94"/>
      <c r="AA111" s="260"/>
      <c r="AB111" s="79"/>
      <c r="AC111" s="79"/>
    </row>
    <row r="112" spans="1:29">
      <c r="A112" s="94"/>
      <c r="B112" s="94"/>
      <c r="C112" s="94"/>
      <c r="D112" s="94"/>
      <c r="E112" s="94"/>
      <c r="F112" s="94"/>
      <c r="G112" s="94"/>
      <c r="H112" s="94"/>
      <c r="I112" s="94"/>
      <c r="J112" s="94"/>
      <c r="K112" s="94"/>
      <c r="M112" s="94"/>
      <c r="N112" s="94"/>
      <c r="O112" s="94"/>
      <c r="P112" s="94"/>
      <c r="Q112" s="94"/>
      <c r="R112" s="94"/>
      <c r="S112" s="94"/>
      <c r="T112" s="94"/>
      <c r="U112" s="94"/>
      <c r="V112" s="94"/>
      <c r="W112" s="94"/>
      <c r="X112" s="94"/>
      <c r="Y112" s="94"/>
      <c r="Z112" s="94"/>
      <c r="AA112" s="260"/>
      <c r="AB112" s="79"/>
      <c r="AC112" s="79"/>
    </row>
    <row r="113" spans="1:29">
      <c r="A113" s="94"/>
      <c r="B113" s="94"/>
      <c r="C113" s="94"/>
      <c r="D113" s="94"/>
      <c r="E113" s="94"/>
      <c r="F113" s="94"/>
      <c r="G113" s="94"/>
      <c r="H113" s="94"/>
      <c r="I113" s="94"/>
      <c r="J113" s="94"/>
      <c r="K113" s="94"/>
      <c r="M113" s="94"/>
      <c r="N113" s="94"/>
      <c r="O113" s="94"/>
      <c r="P113" s="94"/>
      <c r="Q113" s="94"/>
      <c r="R113" s="94"/>
      <c r="S113" s="94"/>
      <c r="T113" s="94"/>
      <c r="U113" s="94"/>
      <c r="V113" s="94"/>
      <c r="W113" s="94"/>
      <c r="X113" s="94"/>
      <c r="Y113" s="94"/>
      <c r="Z113" s="94"/>
      <c r="AA113" s="260"/>
      <c r="AB113" s="79"/>
      <c r="AC113" s="79"/>
    </row>
    <row r="114" spans="1:29">
      <c r="A114" s="94"/>
      <c r="B114" s="94"/>
      <c r="C114" s="94"/>
      <c r="D114" s="94"/>
      <c r="E114" s="94"/>
      <c r="F114" s="94"/>
      <c r="G114" s="94"/>
      <c r="H114" s="94"/>
      <c r="I114" s="94"/>
      <c r="J114" s="94"/>
      <c r="K114" s="132"/>
      <c r="M114" s="94"/>
      <c r="N114" s="94"/>
      <c r="O114" s="94"/>
      <c r="P114" s="94"/>
      <c r="Q114" s="94"/>
      <c r="R114" s="94"/>
      <c r="S114" s="94"/>
      <c r="T114" s="94"/>
      <c r="U114" s="94"/>
      <c r="V114" s="94"/>
      <c r="W114" s="94"/>
      <c r="X114" s="94"/>
      <c r="Y114" s="94"/>
      <c r="Z114" s="94"/>
      <c r="AA114" s="260"/>
      <c r="AB114" s="79"/>
      <c r="AC114" s="79"/>
    </row>
    <row r="115" spans="1:29">
      <c r="A115" s="94"/>
      <c r="B115" s="94"/>
      <c r="C115" s="94"/>
      <c r="D115" s="94"/>
      <c r="E115" s="94"/>
      <c r="F115" s="94"/>
      <c r="G115" s="94"/>
      <c r="H115" s="94"/>
      <c r="I115" s="94"/>
      <c r="J115" s="94"/>
      <c r="K115" s="94"/>
      <c r="L115" s="132"/>
      <c r="M115" s="94"/>
      <c r="N115" s="94"/>
      <c r="O115" s="94"/>
      <c r="P115" s="94"/>
      <c r="Q115" s="94"/>
      <c r="R115" s="94"/>
      <c r="S115" s="94"/>
      <c r="T115" s="94"/>
      <c r="U115" s="94"/>
      <c r="V115" s="94"/>
      <c r="W115" s="94"/>
      <c r="X115" s="94"/>
      <c r="Y115" s="94"/>
      <c r="Z115" s="94"/>
      <c r="AA115" s="260"/>
      <c r="AB115" s="79"/>
      <c r="AC115" s="79"/>
    </row>
    <row r="116" spans="1:29">
      <c r="A116" s="94"/>
      <c r="B116" s="94"/>
      <c r="C116" s="94"/>
      <c r="D116" s="94"/>
      <c r="E116" s="94"/>
      <c r="F116" s="94"/>
      <c r="G116" s="94"/>
      <c r="H116" s="94"/>
      <c r="I116" s="94"/>
      <c r="J116" s="94"/>
      <c r="K116" s="94"/>
      <c r="L116" s="129"/>
      <c r="M116" s="94"/>
      <c r="N116" s="94"/>
      <c r="O116" s="94"/>
      <c r="P116" s="94"/>
      <c r="Q116" s="94"/>
      <c r="R116" s="94"/>
      <c r="S116" s="94"/>
      <c r="T116" s="94"/>
      <c r="U116" s="94"/>
      <c r="V116" s="94"/>
      <c r="W116" s="94"/>
      <c r="X116" s="94"/>
      <c r="Y116" s="94"/>
      <c r="Z116" s="94"/>
      <c r="AA116" s="260"/>
      <c r="AB116" s="79"/>
      <c r="AC116" s="79"/>
    </row>
    <row r="117" spans="1:29">
      <c r="A117" s="94"/>
      <c r="B117" s="94"/>
      <c r="C117" s="94"/>
      <c r="D117" s="94"/>
      <c r="E117" s="94"/>
      <c r="F117" s="94"/>
      <c r="G117" s="94"/>
      <c r="H117" s="94"/>
      <c r="I117" s="94"/>
      <c r="J117" s="94"/>
      <c r="K117" s="94"/>
      <c r="M117" s="94"/>
      <c r="N117" s="94"/>
      <c r="O117" s="94"/>
      <c r="P117" s="94"/>
      <c r="Q117" s="94"/>
      <c r="R117" s="94"/>
      <c r="S117" s="94"/>
      <c r="T117" s="94"/>
      <c r="U117" s="94"/>
      <c r="V117" s="94"/>
      <c r="W117" s="94"/>
      <c r="X117" s="94"/>
      <c r="Y117" s="94"/>
      <c r="Z117" s="94"/>
      <c r="AA117" s="260"/>
      <c r="AB117" s="79"/>
      <c r="AC117" s="79"/>
    </row>
    <row r="118" spans="1:29">
      <c r="A118" s="94"/>
      <c r="B118" s="94"/>
      <c r="C118" s="94"/>
      <c r="D118" s="94"/>
      <c r="E118" s="94"/>
      <c r="F118" s="94"/>
      <c r="G118" s="94"/>
      <c r="H118" s="94"/>
      <c r="I118" s="262"/>
      <c r="J118" s="94"/>
      <c r="K118" s="94"/>
      <c r="M118" s="94"/>
      <c r="N118" s="94"/>
      <c r="O118" s="94"/>
      <c r="P118" s="94"/>
      <c r="Q118" s="94"/>
      <c r="R118" s="94"/>
      <c r="S118" s="94"/>
      <c r="T118" s="94"/>
      <c r="U118" s="94"/>
      <c r="V118" s="94"/>
      <c r="W118" s="94"/>
      <c r="X118" s="94"/>
      <c r="Y118" s="94"/>
      <c r="Z118" s="94"/>
      <c r="AA118" s="260"/>
      <c r="AB118" s="79"/>
      <c r="AC118" s="79"/>
    </row>
    <row r="119" spans="1:29">
      <c r="A119" s="94"/>
      <c r="B119" s="94"/>
      <c r="C119" s="94"/>
      <c r="D119" s="94"/>
      <c r="E119" s="94"/>
      <c r="F119" s="94"/>
      <c r="G119" s="94"/>
      <c r="H119" s="94"/>
      <c r="I119" s="94"/>
      <c r="J119" s="94"/>
      <c r="K119" s="94"/>
      <c r="M119" s="94"/>
      <c r="N119" s="94"/>
      <c r="O119" s="94"/>
      <c r="P119" s="94"/>
      <c r="Q119" s="94"/>
      <c r="R119" s="94"/>
      <c r="S119" s="94"/>
      <c r="T119" s="94"/>
      <c r="U119" s="94"/>
      <c r="V119" s="94"/>
      <c r="W119" s="94"/>
      <c r="X119" s="94"/>
      <c r="Y119" s="94"/>
      <c r="Z119" s="94"/>
      <c r="AA119" s="260"/>
      <c r="AB119" s="79"/>
      <c r="AC119" s="79"/>
    </row>
    <row r="120" spans="1:29">
      <c r="A120" s="94"/>
      <c r="B120" s="94"/>
      <c r="C120" s="94"/>
      <c r="D120" s="94"/>
      <c r="E120" s="94"/>
      <c r="F120" s="94"/>
      <c r="G120" s="94"/>
      <c r="H120" s="94"/>
      <c r="I120" s="94"/>
      <c r="J120" s="94"/>
      <c r="K120" s="94"/>
      <c r="M120" s="94"/>
      <c r="N120" s="94"/>
      <c r="O120" s="94"/>
      <c r="P120" s="94"/>
      <c r="Q120" s="94"/>
      <c r="R120" s="94"/>
      <c r="S120" s="94"/>
      <c r="T120" s="94"/>
      <c r="U120" s="94"/>
      <c r="V120" s="94"/>
      <c r="W120" s="94"/>
      <c r="X120" s="94"/>
      <c r="Y120" s="94"/>
      <c r="Z120" s="94"/>
      <c r="AA120" s="260"/>
      <c r="AB120" s="79"/>
      <c r="AC120" s="79"/>
    </row>
    <row r="121" spans="1:29">
      <c r="A121" s="94"/>
      <c r="B121" s="94"/>
      <c r="C121" s="94"/>
      <c r="D121" s="94"/>
      <c r="E121" s="94"/>
      <c r="F121" s="94"/>
      <c r="G121" s="94"/>
      <c r="H121" s="94"/>
      <c r="I121" s="94"/>
      <c r="J121" s="94"/>
      <c r="K121" s="94"/>
      <c r="M121" s="94"/>
      <c r="N121" s="94"/>
      <c r="O121" s="94"/>
      <c r="P121" s="94"/>
      <c r="Q121" s="94"/>
      <c r="R121" s="94"/>
      <c r="S121" s="94"/>
      <c r="T121" s="94"/>
      <c r="U121" s="94"/>
      <c r="V121" s="94"/>
      <c r="W121" s="94"/>
      <c r="X121" s="94"/>
      <c r="Y121" s="94"/>
      <c r="Z121" s="94"/>
      <c r="AA121" s="260"/>
      <c r="AB121" s="79"/>
      <c r="AC121" s="79"/>
    </row>
    <row r="122" spans="1:29">
      <c r="A122" s="94"/>
      <c r="B122" s="94"/>
      <c r="C122" s="94"/>
      <c r="D122" s="94"/>
      <c r="E122" s="94"/>
      <c r="F122" s="94"/>
      <c r="G122" s="94"/>
      <c r="H122" s="94"/>
      <c r="I122" s="94"/>
      <c r="J122" s="94"/>
      <c r="K122" s="94"/>
      <c r="M122" s="94"/>
      <c r="N122" s="94"/>
      <c r="O122" s="94"/>
      <c r="P122" s="94"/>
      <c r="Q122" s="94"/>
      <c r="R122" s="94"/>
      <c r="S122" s="94"/>
      <c r="T122" s="94"/>
      <c r="U122" s="94"/>
      <c r="V122" s="94"/>
      <c r="W122" s="94"/>
      <c r="X122" s="94"/>
      <c r="Y122" s="94"/>
      <c r="Z122" s="94"/>
      <c r="AA122" s="260"/>
    </row>
    <row r="123" spans="1:29">
      <c r="A123" s="94"/>
      <c r="B123" s="94"/>
      <c r="C123" s="94"/>
      <c r="D123" s="94"/>
      <c r="E123" s="94"/>
      <c r="F123" s="94"/>
      <c r="G123" s="94"/>
      <c r="H123" s="94"/>
      <c r="I123" s="94"/>
      <c r="J123" s="129"/>
      <c r="K123" s="94"/>
      <c r="M123" s="94"/>
      <c r="N123" s="94"/>
      <c r="O123" s="94"/>
      <c r="P123" s="94"/>
      <c r="Q123" s="94"/>
      <c r="R123" s="94"/>
      <c r="S123" s="94"/>
      <c r="T123" s="94"/>
      <c r="U123" s="94"/>
      <c r="V123" s="94"/>
      <c r="W123" s="94"/>
      <c r="X123" s="94"/>
      <c r="Y123" s="94"/>
      <c r="Z123" s="94"/>
      <c r="AA123" s="260"/>
    </row>
    <row r="124" spans="1:29">
      <c r="A124" s="94"/>
      <c r="B124" s="94"/>
      <c r="C124" s="94"/>
      <c r="D124" s="94"/>
      <c r="E124" s="94"/>
      <c r="F124" s="94"/>
      <c r="G124" s="94"/>
      <c r="H124" s="94"/>
      <c r="I124" s="94"/>
      <c r="J124" s="94"/>
      <c r="K124" s="94"/>
      <c r="M124" s="94"/>
      <c r="N124" s="94"/>
      <c r="O124" s="94"/>
      <c r="P124" s="94"/>
      <c r="Q124" s="94"/>
      <c r="R124" s="94"/>
      <c r="S124" s="94"/>
      <c r="T124" s="94"/>
      <c r="U124" s="94"/>
      <c r="V124" s="94"/>
      <c r="W124" s="94"/>
      <c r="X124" s="94"/>
      <c r="Y124" s="94"/>
      <c r="Z124" s="94"/>
      <c r="AA124" s="260"/>
    </row>
    <row r="125" spans="1:29">
      <c r="A125" s="94"/>
      <c r="B125" s="94"/>
      <c r="C125" s="94"/>
      <c r="D125" s="94"/>
      <c r="E125" s="94"/>
      <c r="F125" s="94"/>
      <c r="G125" s="94"/>
      <c r="H125" s="94"/>
      <c r="I125" s="94"/>
      <c r="J125" s="94"/>
      <c r="K125" s="94"/>
      <c r="M125" s="94"/>
      <c r="N125" s="94"/>
      <c r="O125" s="94"/>
      <c r="P125" s="94"/>
      <c r="Q125" s="94"/>
      <c r="R125" s="94"/>
      <c r="S125" s="94"/>
      <c r="T125" s="94"/>
      <c r="U125" s="94"/>
      <c r="V125" s="94"/>
      <c r="W125" s="94"/>
      <c r="X125" s="94"/>
      <c r="Y125" s="94"/>
      <c r="Z125" s="94"/>
      <c r="AA125" s="260"/>
    </row>
    <row r="126" spans="1:29">
      <c r="A126" s="94"/>
      <c r="B126" s="94"/>
      <c r="C126" s="94"/>
      <c r="D126" s="94"/>
      <c r="E126" s="94"/>
      <c r="F126" s="94"/>
      <c r="G126" s="94"/>
      <c r="H126" s="94"/>
      <c r="I126" s="94"/>
      <c r="J126" s="94"/>
      <c r="K126" s="94"/>
      <c r="M126" s="94"/>
      <c r="N126" s="94"/>
      <c r="O126" s="94"/>
      <c r="P126" s="94"/>
      <c r="Q126" s="94"/>
      <c r="R126" s="94"/>
      <c r="S126" s="94"/>
      <c r="T126" s="94"/>
      <c r="U126" s="94"/>
      <c r="V126" s="94"/>
      <c r="W126" s="94"/>
      <c r="X126" s="94"/>
      <c r="Y126" s="94"/>
      <c r="Z126" s="94"/>
      <c r="AA126" s="260"/>
    </row>
    <row r="127" spans="1:29">
      <c r="A127" s="94"/>
      <c r="B127" s="94"/>
      <c r="C127" s="94"/>
      <c r="D127" s="94"/>
      <c r="E127" s="94"/>
      <c r="F127" s="94"/>
      <c r="G127" s="94"/>
      <c r="H127" s="94"/>
      <c r="I127" s="94"/>
      <c r="J127" s="94"/>
      <c r="K127" s="94"/>
      <c r="M127" s="94"/>
      <c r="N127" s="94"/>
      <c r="O127" s="94"/>
      <c r="P127" s="94"/>
      <c r="Q127" s="94"/>
      <c r="R127" s="94"/>
      <c r="S127" s="94"/>
      <c r="T127" s="94"/>
      <c r="U127" s="94"/>
      <c r="V127" s="94"/>
      <c r="W127" s="94"/>
      <c r="X127" s="94"/>
      <c r="Y127" s="94"/>
      <c r="Z127" s="94"/>
      <c r="AA127" s="260"/>
    </row>
    <row r="128" spans="1:29">
      <c r="A128" s="94"/>
      <c r="B128" s="94"/>
      <c r="C128" s="94"/>
      <c r="D128" s="94"/>
      <c r="E128" s="94"/>
      <c r="F128" s="94"/>
      <c r="G128" s="94"/>
      <c r="H128" s="94"/>
      <c r="I128" s="94"/>
      <c r="J128" s="94"/>
      <c r="K128" s="94"/>
      <c r="M128" s="94"/>
      <c r="N128" s="94"/>
      <c r="O128" s="94"/>
      <c r="P128" s="94"/>
      <c r="Q128" s="94"/>
      <c r="R128" s="94"/>
      <c r="S128" s="94"/>
      <c r="T128" s="94"/>
      <c r="U128" s="94"/>
      <c r="V128" s="94"/>
      <c r="W128" s="94"/>
      <c r="X128" s="94"/>
      <c r="Y128" s="94"/>
      <c r="Z128" s="94"/>
      <c r="AA128" s="260"/>
    </row>
    <row r="129" spans="1:27">
      <c r="A129" s="94"/>
      <c r="B129" s="94"/>
      <c r="C129" s="94"/>
      <c r="D129" s="94"/>
      <c r="E129" s="94"/>
      <c r="F129" s="94"/>
      <c r="G129" s="94"/>
      <c r="H129" s="94"/>
      <c r="I129" s="94"/>
      <c r="J129" s="94"/>
      <c r="K129" s="94"/>
      <c r="M129" s="94"/>
      <c r="N129" s="94"/>
      <c r="O129" s="94"/>
      <c r="P129" s="94"/>
      <c r="Q129" s="94"/>
      <c r="R129" s="94"/>
      <c r="S129" s="94"/>
      <c r="T129" s="94"/>
      <c r="U129" s="94"/>
      <c r="V129" s="94"/>
      <c r="W129" s="94"/>
      <c r="X129" s="94"/>
      <c r="Y129" s="94"/>
      <c r="Z129" s="94"/>
      <c r="AA129" s="260"/>
    </row>
    <row r="130" spans="1:27">
      <c r="A130" s="94"/>
      <c r="B130" s="94"/>
      <c r="C130" s="94"/>
      <c r="D130" s="94"/>
      <c r="E130" s="94"/>
      <c r="F130" s="94"/>
      <c r="G130" s="94"/>
      <c r="H130" s="94"/>
      <c r="I130" s="94"/>
      <c r="J130" s="94"/>
      <c r="K130" s="94"/>
      <c r="M130" s="94"/>
      <c r="N130" s="94"/>
      <c r="O130" s="94"/>
      <c r="P130" s="94"/>
      <c r="Q130" s="94"/>
      <c r="R130" s="94"/>
      <c r="S130" s="94"/>
      <c r="T130" s="94"/>
      <c r="U130" s="94"/>
      <c r="V130" s="94"/>
      <c r="W130" s="94"/>
      <c r="X130" s="94"/>
      <c r="Y130" s="94"/>
      <c r="Z130" s="94"/>
      <c r="AA130" s="260"/>
    </row>
    <row r="131" spans="1:27">
      <c r="A131" s="94"/>
      <c r="B131" s="94"/>
      <c r="C131" s="94"/>
      <c r="D131" s="94"/>
      <c r="E131" s="94"/>
      <c r="F131" s="94"/>
      <c r="G131" s="94"/>
      <c r="H131" s="94"/>
      <c r="I131" s="94"/>
      <c r="J131" s="94"/>
      <c r="K131" s="94"/>
      <c r="M131" s="94"/>
      <c r="N131" s="94"/>
      <c r="O131" s="94"/>
      <c r="P131" s="94"/>
      <c r="Q131" s="94"/>
      <c r="R131" s="94"/>
      <c r="S131" s="94"/>
      <c r="T131" s="94"/>
      <c r="U131" s="94"/>
      <c r="V131" s="94"/>
      <c r="W131" s="94"/>
      <c r="X131" s="94"/>
      <c r="Y131" s="94"/>
      <c r="Z131" s="94"/>
      <c r="AA131" s="260"/>
    </row>
    <row r="132" spans="1:27">
      <c r="A132" s="94"/>
      <c r="B132" s="94"/>
      <c r="C132" s="94"/>
      <c r="D132" s="94"/>
      <c r="E132" s="94"/>
      <c r="F132" s="94"/>
      <c r="G132" s="94"/>
      <c r="H132" s="94"/>
      <c r="I132" s="94"/>
      <c r="J132" s="94"/>
      <c r="K132" s="94"/>
      <c r="M132" s="94"/>
      <c r="N132" s="94"/>
      <c r="O132" s="94"/>
      <c r="P132" s="94"/>
      <c r="Q132" s="94"/>
      <c r="R132" s="94"/>
      <c r="S132" s="94"/>
      <c r="T132" s="94"/>
      <c r="U132" s="94"/>
      <c r="V132" s="94"/>
      <c r="W132" s="94"/>
      <c r="X132" s="94"/>
      <c r="Y132" s="94"/>
      <c r="Z132" s="94"/>
      <c r="AA132" s="260"/>
    </row>
    <row r="133" spans="1:27">
      <c r="A133" s="94"/>
      <c r="B133" s="94"/>
      <c r="C133" s="94"/>
      <c r="D133" s="94"/>
      <c r="E133" s="94"/>
      <c r="F133" s="94"/>
      <c r="G133" s="94"/>
      <c r="H133" s="94"/>
      <c r="I133" s="94"/>
      <c r="J133" s="94"/>
      <c r="K133" s="94"/>
      <c r="M133" s="94"/>
      <c r="N133" s="94"/>
      <c r="O133" s="94"/>
      <c r="P133" s="94"/>
      <c r="Q133" s="94"/>
      <c r="R133" s="94"/>
      <c r="S133" s="94"/>
      <c r="T133" s="94"/>
      <c r="U133" s="94"/>
      <c r="V133" s="94"/>
      <c r="W133" s="94"/>
      <c r="X133" s="94"/>
      <c r="Y133" s="94"/>
      <c r="Z133" s="94"/>
      <c r="AA133" s="260"/>
    </row>
    <row r="134" spans="1:27">
      <c r="A134" s="94"/>
      <c r="B134" s="94"/>
      <c r="C134" s="94"/>
      <c r="D134" s="94"/>
      <c r="E134" s="94"/>
      <c r="F134" s="94"/>
      <c r="G134" s="94"/>
      <c r="H134" s="94"/>
      <c r="I134" s="94"/>
      <c r="J134" s="94"/>
      <c r="K134" s="94"/>
      <c r="M134" s="94"/>
      <c r="N134" s="94"/>
      <c r="O134" s="94"/>
      <c r="P134" s="94"/>
      <c r="Q134" s="94"/>
      <c r="R134" s="94"/>
      <c r="S134" s="94"/>
      <c r="T134" s="94"/>
      <c r="U134" s="94"/>
      <c r="V134" s="94"/>
      <c r="W134" s="94"/>
      <c r="X134" s="94"/>
      <c r="Y134" s="94"/>
      <c r="Z134" s="94"/>
      <c r="AA134" s="260"/>
    </row>
    <row r="135" spans="1:27">
      <c r="A135" s="94"/>
      <c r="B135" s="94"/>
      <c r="C135" s="94"/>
      <c r="D135" s="94"/>
      <c r="E135" s="94"/>
      <c r="F135" s="94"/>
      <c r="G135" s="94"/>
      <c r="H135" s="94"/>
      <c r="I135" s="94"/>
      <c r="J135" s="94"/>
      <c r="K135" s="94"/>
      <c r="M135" s="94"/>
      <c r="N135" s="94"/>
      <c r="O135" s="94"/>
      <c r="P135" s="94"/>
      <c r="Q135" s="94"/>
      <c r="R135" s="94"/>
      <c r="S135" s="94"/>
      <c r="T135" s="94"/>
      <c r="U135" s="94"/>
      <c r="V135" s="94"/>
      <c r="W135" s="94"/>
      <c r="X135" s="94"/>
      <c r="Y135" s="94"/>
      <c r="Z135" s="94"/>
      <c r="AA135" s="260"/>
    </row>
    <row r="136" spans="1:27">
      <c r="A136" s="94"/>
      <c r="B136" s="94"/>
      <c r="C136" s="94"/>
      <c r="D136" s="94"/>
      <c r="E136" s="94"/>
      <c r="F136" s="94"/>
      <c r="G136" s="94"/>
      <c r="H136" s="94"/>
      <c r="I136" s="94"/>
      <c r="J136" s="94"/>
      <c r="K136" s="94"/>
      <c r="M136" s="94"/>
      <c r="N136" s="94"/>
      <c r="O136" s="94"/>
      <c r="P136" s="94"/>
      <c r="Q136" s="94"/>
      <c r="R136" s="94"/>
      <c r="S136" s="94"/>
      <c r="T136" s="94"/>
      <c r="U136" s="94"/>
      <c r="V136" s="94"/>
      <c r="W136" s="94"/>
      <c r="X136" s="94"/>
      <c r="Y136" s="94"/>
      <c r="Z136" s="94"/>
      <c r="AA136" s="260"/>
    </row>
    <row r="137" spans="1:27">
      <c r="A137" s="94"/>
      <c r="B137" s="94"/>
      <c r="C137" s="94"/>
      <c r="D137" s="94"/>
      <c r="E137" s="94"/>
      <c r="F137" s="94"/>
      <c r="G137" s="94"/>
      <c r="H137" s="94"/>
      <c r="I137" s="94"/>
      <c r="J137" s="94"/>
      <c r="K137" s="94"/>
      <c r="M137" s="94"/>
      <c r="N137" s="94"/>
      <c r="O137" s="94"/>
      <c r="P137" s="94"/>
      <c r="Q137" s="94"/>
      <c r="R137" s="94"/>
      <c r="S137" s="94"/>
      <c r="T137" s="94"/>
      <c r="U137" s="94"/>
      <c r="V137" s="94"/>
      <c r="W137" s="94"/>
      <c r="X137" s="94"/>
      <c r="Y137" s="94"/>
      <c r="Z137" s="94"/>
      <c r="AA137" s="260"/>
    </row>
    <row r="138" spans="1:27">
      <c r="A138" s="94"/>
      <c r="B138" s="94"/>
      <c r="C138" s="94"/>
      <c r="D138" s="94"/>
      <c r="E138" s="94"/>
      <c r="F138" s="94"/>
      <c r="G138" s="94"/>
      <c r="H138" s="94"/>
      <c r="I138" s="94"/>
      <c r="J138" s="94"/>
      <c r="K138" s="94"/>
      <c r="M138" s="94"/>
      <c r="N138" s="94"/>
      <c r="O138" s="94"/>
      <c r="P138" s="94"/>
      <c r="Q138" s="94"/>
      <c r="R138" s="94"/>
      <c r="S138" s="94"/>
      <c r="T138" s="94"/>
      <c r="U138" s="94"/>
      <c r="V138" s="94"/>
      <c r="W138" s="94"/>
      <c r="X138" s="94"/>
      <c r="Y138" s="94"/>
      <c r="Z138" s="94"/>
      <c r="AA138" s="260"/>
    </row>
    <row r="139" spans="1:27">
      <c r="A139" s="94"/>
      <c r="B139" s="94"/>
      <c r="C139" s="94"/>
      <c r="D139" s="94"/>
      <c r="E139" s="94"/>
      <c r="F139" s="94"/>
      <c r="G139" s="94"/>
      <c r="H139" s="94"/>
      <c r="I139" s="94"/>
      <c r="J139" s="94"/>
      <c r="K139" s="94"/>
      <c r="M139" s="94"/>
      <c r="N139" s="94"/>
      <c r="O139" s="94"/>
      <c r="P139" s="94"/>
      <c r="Q139" s="94"/>
      <c r="R139" s="94"/>
      <c r="S139" s="94"/>
      <c r="T139" s="94"/>
      <c r="U139" s="94"/>
      <c r="V139" s="94"/>
      <c r="W139" s="94"/>
      <c r="X139" s="94"/>
      <c r="Y139" s="94"/>
      <c r="Z139" s="94"/>
      <c r="AA139" s="260"/>
    </row>
    <row r="140" spans="1:27">
      <c r="A140" s="94"/>
      <c r="B140" s="94"/>
      <c r="C140" s="94"/>
      <c r="D140" s="94"/>
      <c r="E140" s="94"/>
      <c r="F140" s="94"/>
      <c r="G140" s="94"/>
      <c r="H140" s="94"/>
      <c r="I140" s="94"/>
      <c r="J140" s="94"/>
      <c r="K140" s="94"/>
      <c r="M140" s="94"/>
      <c r="N140" s="94"/>
      <c r="O140" s="94"/>
      <c r="P140" s="94"/>
      <c r="Q140" s="94"/>
      <c r="R140" s="94"/>
      <c r="S140" s="94"/>
      <c r="T140" s="94"/>
      <c r="U140" s="94"/>
      <c r="V140" s="94"/>
      <c r="W140" s="94"/>
      <c r="X140" s="94"/>
      <c r="Y140" s="94"/>
      <c r="Z140" s="94"/>
      <c r="AA140" s="260"/>
    </row>
    <row r="141" spans="1:27">
      <c r="A141" s="263"/>
      <c r="B141" s="263"/>
      <c r="C141" s="263"/>
      <c r="D141" s="263"/>
      <c r="E141" s="263"/>
      <c r="F141" s="263"/>
      <c r="G141" s="263"/>
      <c r="H141" s="263"/>
      <c r="I141" s="263"/>
      <c r="J141" s="263"/>
      <c r="K141" s="263"/>
      <c r="M141" s="263"/>
      <c r="N141" s="263"/>
      <c r="O141" s="263"/>
      <c r="P141" s="263"/>
      <c r="Q141" s="263"/>
      <c r="R141" s="263"/>
      <c r="S141" s="263"/>
      <c r="T141" s="263"/>
      <c r="U141" s="263"/>
      <c r="V141" s="263"/>
      <c r="W141" s="263"/>
      <c r="X141" s="263"/>
      <c r="Y141" s="263"/>
      <c r="Z141" s="263"/>
    </row>
  </sheetData>
  <sheetProtection algorithmName="SHA-512" hashValue="VlrhalUpr6oRN23lOgBWJ50l5fBuCjNylGHuz4bl1sZ4T5y0KdztFpS+Wrt4ehRgvW77czUcBhi29KuQyJfOLg==" saltValue="08uvvPvJKK7K7HDEZ7tGxA==" spinCount="100000" sheet="1" objects="1" scenarios="1"/>
  <hyperlinks>
    <hyperlink ref="D36" location="Beispielberechnung!A1" display="zurück" xr:uid="{C389DE2F-3FA3-48B9-976C-115119147E7C}"/>
    <hyperlink ref="F36" location="'Eingabe Käuferdaten'!A1" display="Menü" xr:uid="{47ED5C38-65DE-42AF-8E5D-923CD722F901}"/>
    <hyperlink ref="J36" location="Diagramme!A1" display="Diagramme" xr:uid="{A93E50B5-E64F-4A96-82FE-6ED3E6B82EBF}"/>
    <hyperlink ref="J37" location="'Vergleich Sparplan'!A1" display="Vergleich mit einem Sparplan" xr:uid="{CBC79149-BA7A-4BA8-97BF-FC457EEF5313}"/>
  </hyperlinks>
  <pageMargins left="0.70866141732283472" right="0.70866141732283472" top="0.78740157480314965" bottom="0.78740157480314965" header="0.31496062992125984" footer="0.31496062992125984"/>
  <pageSetup paperSize="9" scale="77"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 operator="lessThan" id="{E750182A-7213-46C6-B77E-BD138DF1F699}">
            <xm:f>'Eingabe Käuferdaten'!$J$19</xm:f>
            <x14:dxf>
              <font>
                <color auto="1"/>
              </font>
              <fill>
                <patternFill>
                  <bgColor theme="4" tint="0.79998168889431442"/>
                </patternFill>
              </fill>
            </x14:dxf>
          </x14:cfRule>
          <x14:cfRule type="cellIs" priority="4" operator="greaterThan" id="{DAB5E7C5-18E6-47C5-A236-B259209F4BC3}">
            <xm:f>'Eingabe Käuferdaten'!$J$19</xm:f>
            <x14:dxf>
              <font>
                <color auto="1"/>
              </font>
              <fill>
                <patternFill>
                  <bgColor rgb="FFC6EFCE"/>
                </patternFill>
              </fill>
            </x14:dxf>
          </x14:cfRule>
          <xm:sqref>F15</xm:sqref>
        </x14:conditionalFormatting>
        <x14:conditionalFormatting xmlns:xm="http://schemas.microsoft.com/office/excel/2006/main">
          <x14:cfRule type="cellIs" priority="1" operator="lessThan" id="{A9F89DDB-BF8B-4951-86E5-673309460831}">
            <xm:f>'Eingabe Käuferdaten'!$J$19</xm:f>
            <x14:dxf>
              <font>
                <color auto="1"/>
              </font>
              <fill>
                <patternFill>
                  <bgColor theme="4" tint="0.79998168889431442"/>
                </patternFill>
              </fill>
            </x14:dxf>
          </x14:cfRule>
          <x14:cfRule type="cellIs" priority="2" operator="greaterThan" id="{33A317AD-0F14-47F5-BBF0-477EF9BFC73A}">
            <xm:f>'Eingabe Käuferdaten'!$J$19</xm:f>
            <x14:dxf>
              <font>
                <color auto="1"/>
              </font>
              <fill>
                <patternFill>
                  <bgColor rgb="FFC6EFCE"/>
                </patternFill>
              </fill>
            </x14:dxf>
          </x14:cfRule>
          <xm:sqref>F32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Ergebnisanzeige für Jahr..." prompt="Wählen Sie das Jahr aus, für das Sie das Ergebnis sehen möchten" xr:uid="{21E090AF-F4C2-4943-B8C9-2F2C3E1DBE35}">
          <x14:formula1>
            <xm:f>Ergebnistabelle!$B$7:$B$56</xm:f>
          </x14:formula1>
          <xm:sqref>I2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4659-2FD0-476C-8C9A-BC0DAFA01404}">
  <sheetPr codeName="Tabelle10">
    <tabColor theme="9" tint="-0.499984740745262"/>
    <pageSetUpPr fitToPage="1"/>
  </sheetPr>
  <dimension ref="A1:AR55"/>
  <sheetViews>
    <sheetView zoomScaleNormal="100" workbookViewId="0">
      <selection activeCell="B33" sqref="B33"/>
    </sheetView>
  </sheetViews>
  <sheetFormatPr baseColWidth="10" defaultColWidth="10.7265625" defaultRowHeight="12.5"/>
  <cols>
    <col min="1" max="1" width="5.54296875" customWidth="1"/>
    <col min="2" max="2" width="18.54296875" customWidth="1"/>
    <col min="3" max="3" width="21.54296875" customWidth="1"/>
    <col min="4" max="4" width="28.453125" customWidth="1"/>
    <col min="5" max="5" width="20.26953125" customWidth="1"/>
    <col min="6" max="6" width="22" bestFit="1" customWidth="1"/>
    <col min="7" max="7" width="11.453125" customWidth="1"/>
    <col min="8" max="8" width="30.81640625" bestFit="1" customWidth="1"/>
    <col min="9" max="9" width="28.1796875" customWidth="1"/>
    <col min="11" max="11" width="22.26953125" customWidth="1"/>
    <col min="12" max="12" width="14.453125" style="263" customWidth="1"/>
    <col min="13" max="13" width="62.81640625" bestFit="1" customWidth="1"/>
  </cols>
  <sheetData>
    <row r="1" spans="1:38">
      <c r="A1" s="99"/>
      <c r="B1" s="99"/>
      <c r="C1" s="99"/>
      <c r="D1" s="99"/>
      <c r="E1" s="99"/>
      <c r="F1" s="99"/>
      <c r="G1" s="99"/>
      <c r="H1" s="126"/>
      <c r="I1" s="126"/>
      <c r="J1" s="126"/>
      <c r="K1" s="94"/>
      <c r="L1" s="94"/>
      <c r="M1" s="94"/>
      <c r="N1" s="126"/>
      <c r="O1" s="126"/>
      <c r="P1" s="126"/>
      <c r="Q1" s="126"/>
      <c r="R1" s="126"/>
      <c r="S1" s="87"/>
      <c r="T1" s="87"/>
      <c r="U1" s="87"/>
      <c r="V1" s="87"/>
      <c r="W1" s="87"/>
      <c r="X1" s="87"/>
      <c r="Y1" s="87"/>
      <c r="Z1" s="87"/>
      <c r="AA1" s="87"/>
      <c r="AB1" s="87"/>
      <c r="AC1" s="87"/>
      <c r="AD1" s="87"/>
      <c r="AE1" s="87"/>
      <c r="AF1" s="87"/>
      <c r="AG1" s="87"/>
      <c r="AH1" s="87"/>
      <c r="AI1" s="87"/>
      <c r="AJ1" s="87"/>
      <c r="AK1" s="87"/>
      <c r="AL1" s="87"/>
    </row>
    <row r="2" spans="1:38">
      <c r="A2" s="99"/>
      <c r="B2" s="99"/>
      <c r="C2" s="99"/>
      <c r="D2" s="99"/>
      <c r="E2" s="99"/>
      <c r="F2" s="99"/>
      <c r="G2" s="99"/>
      <c r="H2" s="126"/>
      <c r="I2" s="87"/>
      <c r="J2" s="126"/>
      <c r="K2" s="94"/>
      <c r="L2" s="94"/>
      <c r="M2" s="94"/>
      <c r="N2" s="126"/>
      <c r="O2" s="126"/>
      <c r="P2" s="126"/>
      <c r="Q2" s="126"/>
      <c r="R2" s="126"/>
      <c r="S2" s="87"/>
      <c r="T2" s="87"/>
      <c r="U2" s="87"/>
      <c r="V2" s="87"/>
      <c r="W2" s="87"/>
      <c r="X2" s="87"/>
      <c r="Y2" s="87"/>
      <c r="Z2" s="87"/>
      <c r="AA2" s="87"/>
      <c r="AB2" s="87"/>
      <c r="AC2" s="87"/>
      <c r="AD2" s="87"/>
      <c r="AE2" s="87"/>
      <c r="AF2" s="87"/>
      <c r="AG2" s="87"/>
      <c r="AH2" s="87"/>
      <c r="AI2" s="87"/>
      <c r="AJ2" s="87"/>
      <c r="AK2" s="87"/>
      <c r="AL2" s="87"/>
    </row>
    <row r="3" spans="1:38" ht="14">
      <c r="A3" s="99"/>
      <c r="B3" s="107"/>
      <c r="C3" s="107"/>
      <c r="D3" s="107"/>
      <c r="E3" s="107"/>
      <c r="F3" s="107"/>
      <c r="G3" s="107"/>
      <c r="H3" s="126"/>
      <c r="I3" s="126"/>
      <c r="J3" s="126"/>
      <c r="K3" s="94"/>
      <c r="L3" s="94"/>
      <c r="M3" s="94"/>
      <c r="N3" s="126"/>
      <c r="O3" s="126"/>
      <c r="P3" s="126"/>
      <c r="Q3" s="126"/>
      <c r="R3" s="126"/>
      <c r="S3" s="87"/>
      <c r="T3" s="87"/>
      <c r="U3" s="87"/>
      <c r="V3" s="87"/>
      <c r="W3" s="87"/>
      <c r="X3" s="87"/>
      <c r="Y3" s="87"/>
      <c r="Z3" s="87"/>
      <c r="AA3" s="87"/>
      <c r="AB3" s="87"/>
      <c r="AC3" s="87"/>
      <c r="AD3" s="87"/>
      <c r="AE3" s="87"/>
      <c r="AF3" s="87"/>
      <c r="AG3" s="87"/>
      <c r="AH3" s="87"/>
      <c r="AI3" s="87"/>
      <c r="AJ3" s="87"/>
      <c r="AK3" s="87"/>
      <c r="AL3" s="87"/>
    </row>
    <row r="4" spans="1:38" ht="14">
      <c r="A4" s="99"/>
      <c r="B4" s="107"/>
      <c r="C4" s="107"/>
      <c r="D4" s="107"/>
      <c r="E4" s="107"/>
      <c r="F4" s="107"/>
      <c r="G4" s="107"/>
      <c r="H4" s="126"/>
      <c r="I4" s="126"/>
      <c r="J4" s="126"/>
      <c r="K4" s="385" t="s">
        <v>338</v>
      </c>
      <c r="L4" s="352">
        <f>_xlfn.XLOOKUP(I6,Ergebnistabelle!B7:B56,Ergebnistabelle!AF7:AF56)/12</f>
        <v>-83.259726419410057</v>
      </c>
      <c r="M4" s="94" t="str">
        <f>IF(L4&lt;0,"Steuerentlastung","Steuerzahlung")</f>
        <v>Steuerentlastung</v>
      </c>
      <c r="N4" s="126"/>
      <c r="O4" s="126"/>
      <c r="P4" s="126"/>
      <c r="Q4" s="126"/>
      <c r="R4" s="126"/>
      <c r="S4" s="87"/>
      <c r="T4" s="87"/>
      <c r="U4" s="87"/>
      <c r="V4" s="87"/>
      <c r="W4" s="87"/>
      <c r="X4" s="87"/>
      <c r="Y4" s="87"/>
      <c r="Z4" s="87"/>
      <c r="AA4" s="87"/>
      <c r="AB4" s="87"/>
      <c r="AC4" s="87"/>
      <c r="AD4" s="87"/>
      <c r="AE4" s="87"/>
      <c r="AF4" s="87"/>
      <c r="AG4" s="87"/>
      <c r="AH4" s="87"/>
      <c r="AI4" s="87"/>
      <c r="AJ4" s="87"/>
      <c r="AK4" s="87"/>
      <c r="AL4" s="87"/>
    </row>
    <row r="5" spans="1:38" ht="14">
      <c r="A5" s="99"/>
      <c r="B5" s="107"/>
      <c r="C5" s="107"/>
      <c r="D5" s="107"/>
      <c r="E5" s="107"/>
      <c r="F5" s="107"/>
      <c r="G5" s="107"/>
      <c r="H5" s="126"/>
      <c r="I5" s="126"/>
      <c r="J5" s="126"/>
      <c r="K5" s="386" t="s">
        <v>52</v>
      </c>
      <c r="L5" s="381" cm="1">
        <f t="array" ref="L5">_xlfn.XLOOKUP(I6,Ergebnistabelle!B7:B56,Ergebnistabelle!P7:P56+Ergebnistabelle!S7:S56)/12</f>
        <v>704.22165051557874</v>
      </c>
      <c r="M5" s="386"/>
      <c r="N5" s="391"/>
      <c r="O5" s="126"/>
      <c r="P5" s="126"/>
      <c r="Q5" s="126"/>
      <c r="R5" s="126"/>
      <c r="S5" s="87"/>
      <c r="T5" s="87"/>
      <c r="U5" s="87"/>
      <c r="V5" s="87"/>
      <c r="W5" s="87"/>
      <c r="X5" s="87"/>
      <c r="Y5" s="87"/>
      <c r="Z5" s="87"/>
      <c r="AA5" s="87"/>
      <c r="AB5" s="87"/>
      <c r="AC5" s="87"/>
      <c r="AD5" s="87"/>
      <c r="AE5" s="87"/>
      <c r="AF5" s="87"/>
      <c r="AG5" s="87"/>
      <c r="AH5" s="87"/>
      <c r="AI5" s="87"/>
      <c r="AJ5" s="87"/>
      <c r="AK5" s="87"/>
      <c r="AL5" s="87"/>
    </row>
    <row r="6" spans="1:38" ht="15.5">
      <c r="A6" s="99"/>
      <c r="B6" s="107"/>
      <c r="C6" s="107"/>
      <c r="D6" s="107"/>
      <c r="E6" s="107"/>
      <c r="F6" s="107"/>
      <c r="G6" s="107"/>
      <c r="H6" s="161" t="s">
        <v>291</v>
      </c>
      <c r="I6" s="423">
        <v>10</v>
      </c>
      <c r="J6" s="126"/>
      <c r="K6" s="94" t="s">
        <v>53</v>
      </c>
      <c r="L6" s="382" cm="1">
        <f t="array" ref="L6">_xlfn.XLOOKUP(I6,Ergebnistabelle!B7:B56,Ergebnistabelle!Q7:Q56+Ergebnistabelle!T7:T56)/12</f>
        <v>608.918849484421</v>
      </c>
      <c r="M6" s="386"/>
      <c r="N6" s="391"/>
      <c r="O6" s="392"/>
      <c r="P6" s="126"/>
      <c r="Q6" s="126"/>
      <c r="R6" s="126"/>
      <c r="S6" s="87"/>
      <c r="T6" s="87"/>
      <c r="U6" s="87"/>
      <c r="V6" s="87"/>
      <c r="W6" s="87"/>
      <c r="X6" s="87"/>
      <c r="Y6" s="87"/>
      <c r="Z6" s="87"/>
      <c r="AA6" s="87"/>
      <c r="AB6" s="87"/>
      <c r="AC6" s="87"/>
      <c r="AD6" s="87"/>
      <c r="AE6" s="87"/>
      <c r="AF6" s="87"/>
      <c r="AG6" s="87"/>
      <c r="AH6" s="87"/>
      <c r="AI6" s="87"/>
      <c r="AJ6" s="87"/>
      <c r="AK6" s="87"/>
      <c r="AL6" s="87"/>
    </row>
    <row r="7" spans="1:38" ht="16" thickBot="1">
      <c r="A7" s="99"/>
      <c r="B7" s="107"/>
      <c r="C7" s="107"/>
      <c r="D7" s="107"/>
      <c r="E7" s="107"/>
      <c r="F7" s="294" t="s">
        <v>55</v>
      </c>
      <c r="G7" s="107"/>
      <c r="H7" s="99"/>
      <c r="I7" s="99"/>
      <c r="J7" s="126"/>
      <c r="K7" s="94" t="s">
        <v>73</v>
      </c>
      <c r="L7" s="383">
        <f>_xlfn.XLOOKUP(I6,Ergebnistabelle!B7:B56,Ergebnistabelle!F7:F56)/12</f>
        <v>121.41000212069093</v>
      </c>
      <c r="M7" s="388"/>
      <c r="N7" s="393"/>
      <c r="O7" s="126"/>
      <c r="P7" s="126"/>
      <c r="Q7" s="126"/>
      <c r="R7" s="126"/>
      <c r="S7" s="87"/>
      <c r="T7" s="87"/>
      <c r="U7" s="87"/>
      <c r="V7" s="87"/>
      <c r="W7" s="87"/>
      <c r="X7" s="87"/>
      <c r="Y7" s="87"/>
      <c r="Z7" s="87"/>
      <c r="AA7" s="87"/>
      <c r="AB7" s="87"/>
      <c r="AC7" s="87"/>
      <c r="AD7" s="87"/>
      <c r="AE7" s="87"/>
      <c r="AF7" s="87"/>
      <c r="AG7" s="87"/>
      <c r="AH7" s="87"/>
      <c r="AI7" s="87"/>
      <c r="AJ7" s="87"/>
      <c r="AK7" s="87"/>
      <c r="AL7" s="87"/>
    </row>
    <row r="8" spans="1:38" ht="16" thickBot="1">
      <c r="A8" s="99"/>
      <c r="B8" s="107"/>
      <c r="C8" s="107"/>
      <c r="D8" s="108" t="s">
        <v>277</v>
      </c>
      <c r="E8" s="237">
        <f>'Eingabe Immodaten'!C15/100</f>
        <v>0.03</v>
      </c>
      <c r="F8" s="295">
        <f>_xlfn.XLOOKUP(I6,Ergebnistabelle!B7:B56,Ergebnistabelle!AN7:AN56)</f>
        <v>340424.77021890087</v>
      </c>
      <c r="G8" s="107"/>
      <c r="H8" s="296" t="s">
        <v>283</v>
      </c>
      <c r="I8" s="297"/>
      <c r="J8" s="126"/>
      <c r="K8" s="94" t="s">
        <v>77</v>
      </c>
      <c r="L8" s="384">
        <f>L5+L6+L7</f>
        <v>1434.5505021206907</v>
      </c>
      <c r="M8" s="389"/>
      <c r="N8" s="87"/>
      <c r="O8" s="126"/>
      <c r="P8" s="126"/>
      <c r="Q8" s="126"/>
      <c r="R8" s="126"/>
      <c r="S8" s="87"/>
      <c r="T8" s="87"/>
      <c r="U8" s="87"/>
      <c r="V8" s="87"/>
      <c r="W8" s="87"/>
      <c r="X8" s="87"/>
      <c r="Y8" s="87"/>
      <c r="Z8" s="87"/>
      <c r="AA8" s="87"/>
      <c r="AB8" s="87"/>
      <c r="AC8" s="87"/>
      <c r="AD8" s="87"/>
      <c r="AE8" s="87"/>
      <c r="AF8" s="87"/>
      <c r="AG8" s="87"/>
      <c r="AH8" s="87"/>
      <c r="AI8" s="87"/>
      <c r="AJ8" s="87"/>
      <c r="AK8" s="87"/>
      <c r="AL8" s="87"/>
    </row>
    <row r="9" spans="1:38" ht="14">
      <c r="A9" s="99"/>
      <c r="B9" s="107"/>
      <c r="C9" s="107"/>
      <c r="D9" s="99"/>
      <c r="F9" s="107"/>
      <c r="G9" s="107"/>
      <c r="H9" s="466" t="s">
        <v>282</v>
      </c>
      <c r="I9" s="467">
        <f>'Eingabe Immodaten'!D11</f>
        <v>950</v>
      </c>
      <c r="J9" s="126"/>
      <c r="K9" s="94" t="s">
        <v>75</v>
      </c>
      <c r="L9" s="387">
        <f>I11-L4</f>
        <v>1322.7942510571927</v>
      </c>
      <c r="M9" s="386"/>
      <c r="N9" s="391"/>
      <c r="O9" s="126"/>
      <c r="P9" s="126"/>
      <c r="Q9" s="126"/>
      <c r="R9" s="126"/>
      <c r="S9" s="87"/>
      <c r="T9" s="87"/>
      <c r="U9" s="87"/>
      <c r="V9" s="87"/>
      <c r="W9" s="87"/>
      <c r="X9" s="87"/>
      <c r="Y9" s="87"/>
      <c r="Z9" s="87"/>
      <c r="AA9" s="87"/>
      <c r="AB9" s="87"/>
      <c r="AC9" s="87"/>
      <c r="AD9" s="87"/>
      <c r="AE9" s="87"/>
      <c r="AF9" s="87"/>
      <c r="AG9" s="87"/>
      <c r="AH9" s="87"/>
      <c r="AI9" s="87"/>
      <c r="AJ9" s="87"/>
      <c r="AK9" s="87"/>
      <c r="AL9" s="87"/>
    </row>
    <row r="10" spans="1:38" ht="14">
      <c r="A10" s="99"/>
      <c r="B10" s="107"/>
      <c r="C10" s="107"/>
      <c r="D10" s="107"/>
      <c r="E10" s="107"/>
      <c r="F10" s="107"/>
      <c r="G10" s="107"/>
      <c r="H10" s="468" t="s">
        <v>281</v>
      </c>
      <c r="I10" s="469">
        <f>I11-I9</f>
        <v>289.53452463778262</v>
      </c>
      <c r="J10" s="126"/>
      <c r="K10" s="380"/>
      <c r="L10" s="386"/>
      <c r="M10" s="390"/>
      <c r="N10" s="126"/>
      <c r="O10" s="126"/>
      <c r="P10" s="126"/>
      <c r="Q10" s="126"/>
      <c r="R10" s="126"/>
      <c r="S10" s="87"/>
      <c r="T10" s="87"/>
      <c r="U10" s="87"/>
      <c r="V10" s="87"/>
      <c r="W10" s="87"/>
      <c r="X10" s="87"/>
      <c r="Y10" s="87"/>
      <c r="Z10" s="87"/>
      <c r="AA10" s="87"/>
      <c r="AB10" s="87"/>
      <c r="AC10" s="87"/>
      <c r="AD10" s="87"/>
      <c r="AE10" s="87"/>
      <c r="AF10" s="87"/>
      <c r="AG10" s="87"/>
      <c r="AH10" s="87"/>
      <c r="AI10" s="87"/>
      <c r="AJ10" s="87"/>
      <c r="AK10" s="87"/>
      <c r="AL10" s="87"/>
    </row>
    <row r="11" spans="1:38" ht="14.5" thickBot="1">
      <c r="A11" s="99"/>
      <c r="B11" s="107"/>
      <c r="C11" s="107"/>
      <c r="D11" s="107"/>
      <c r="E11" s="107"/>
      <c r="F11" s="107"/>
      <c r="G11" s="107"/>
      <c r="H11" s="470" t="str">
        <f>"Mieteinnahmen mtl. Jahr "&amp;I6</f>
        <v>Mieteinnahmen mtl. Jahr 10</v>
      </c>
      <c r="I11" s="471">
        <f>_xlfn.XLOOKUP(I6,Ergebnistabelle!B7:B56,Ergebnistabelle!D7:D56)/12</f>
        <v>1239.5345246377826</v>
      </c>
      <c r="J11" s="126"/>
      <c r="K11" s="385"/>
      <c r="M11" s="94"/>
      <c r="N11" s="126"/>
      <c r="O11" s="126"/>
      <c r="P11" s="126"/>
      <c r="Q11" s="126"/>
      <c r="R11" s="126"/>
      <c r="S11" s="87"/>
      <c r="T11" s="87"/>
      <c r="U11" s="87"/>
      <c r="V11" s="87"/>
      <c r="W11" s="87"/>
      <c r="X11" s="87"/>
      <c r="Y11" s="87"/>
      <c r="Z11" s="87"/>
      <c r="AA11" s="87"/>
      <c r="AB11" s="87"/>
      <c r="AC11" s="87"/>
      <c r="AD11" s="87"/>
      <c r="AE11" s="87"/>
      <c r="AF11" s="87"/>
      <c r="AG11" s="87"/>
      <c r="AH11" s="87"/>
      <c r="AI11" s="87"/>
      <c r="AJ11" s="87"/>
      <c r="AK11" s="87"/>
      <c r="AL11" s="87"/>
    </row>
    <row r="12" spans="1:38" ht="14.5" thickBot="1">
      <c r="A12" s="99"/>
      <c r="B12" s="107"/>
      <c r="C12" s="107"/>
      <c r="D12" s="107"/>
      <c r="E12" s="107"/>
      <c r="F12" s="107"/>
      <c r="G12" s="107"/>
      <c r="H12" s="280"/>
      <c r="I12" s="281"/>
      <c r="J12" s="126"/>
      <c r="K12" s="94" t="s">
        <v>50</v>
      </c>
      <c r="L12" s="129">
        <f>I11</f>
        <v>1239.5345246377826</v>
      </c>
      <c r="M12" s="94"/>
      <c r="N12" s="126"/>
      <c r="O12" s="126"/>
      <c r="P12" s="126"/>
      <c r="Q12" s="126"/>
      <c r="R12" s="126"/>
      <c r="S12" s="87"/>
      <c r="T12" s="87"/>
      <c r="U12" s="87"/>
      <c r="V12" s="87"/>
      <c r="W12" s="87"/>
      <c r="X12" s="87"/>
      <c r="Y12" s="87"/>
      <c r="Z12" s="87"/>
      <c r="AA12" s="87"/>
      <c r="AB12" s="87"/>
      <c r="AC12" s="87"/>
      <c r="AD12" s="87"/>
      <c r="AE12" s="87"/>
      <c r="AF12" s="87"/>
      <c r="AG12" s="87"/>
      <c r="AH12" s="87"/>
      <c r="AI12" s="87"/>
      <c r="AJ12" s="87"/>
      <c r="AK12" s="87"/>
      <c r="AL12" s="87"/>
    </row>
    <row r="13" spans="1:38" ht="14">
      <c r="A13" s="99"/>
      <c r="B13" s="107"/>
      <c r="C13" s="107"/>
      <c r="D13" s="107"/>
      <c r="E13" s="107"/>
      <c r="F13" s="107"/>
      <c r="G13" s="107"/>
      <c r="H13" s="466" t="s">
        <v>279</v>
      </c>
      <c r="I13" s="467">
        <f>Ergebnistabelle!AL7</f>
        <v>-207.12925849999979</v>
      </c>
      <c r="J13" s="126"/>
      <c r="K13" s="94" t="str">
        <f>M4</f>
        <v>Steuerentlastung</v>
      </c>
      <c r="L13" s="129">
        <f>ABS(L4)</f>
        <v>83.259726419410057</v>
      </c>
      <c r="M13" s="94"/>
      <c r="N13" s="126"/>
      <c r="O13" s="126"/>
      <c r="P13" s="126"/>
      <c r="Q13" s="126"/>
      <c r="R13" s="126"/>
      <c r="S13" s="87"/>
      <c r="T13" s="87"/>
      <c r="U13" s="87"/>
      <c r="V13" s="87"/>
      <c r="W13" s="87"/>
      <c r="X13" s="87"/>
      <c r="Y13" s="87"/>
      <c r="Z13" s="87"/>
      <c r="AA13" s="87"/>
      <c r="AB13" s="87"/>
      <c r="AC13" s="87"/>
      <c r="AD13" s="87"/>
      <c r="AE13" s="87"/>
      <c r="AF13" s="87"/>
      <c r="AG13" s="87"/>
      <c r="AH13" s="87"/>
      <c r="AI13" s="87"/>
      <c r="AJ13" s="87"/>
      <c r="AK13" s="87"/>
      <c r="AL13" s="87"/>
    </row>
    <row r="14" spans="1:38" ht="14">
      <c r="A14" s="99"/>
      <c r="B14" s="107"/>
      <c r="C14" s="107"/>
      <c r="D14" s="107"/>
      <c r="E14" s="107"/>
      <c r="F14" s="107"/>
      <c r="G14" s="107"/>
      <c r="H14" s="468" t="s">
        <v>280</v>
      </c>
      <c r="I14" s="469">
        <f>I13-I15</f>
        <v>-95.373007436501652</v>
      </c>
      <c r="J14" s="126"/>
      <c r="K14" s="94" t="s">
        <v>72</v>
      </c>
      <c r="L14" s="129">
        <f>L8</f>
        <v>1434.5505021206907</v>
      </c>
      <c r="M14" s="94"/>
      <c r="N14" s="126"/>
      <c r="O14" s="126"/>
      <c r="P14" s="126"/>
      <c r="Q14" s="87"/>
      <c r="R14" s="87"/>
      <c r="S14" s="87"/>
      <c r="T14" s="87"/>
      <c r="U14" s="87"/>
      <c r="V14" s="87"/>
      <c r="W14" s="87"/>
      <c r="X14" s="87"/>
      <c r="Y14" s="87"/>
      <c r="Z14" s="87"/>
      <c r="AA14" s="87"/>
      <c r="AB14" s="87"/>
      <c r="AC14" s="87"/>
      <c r="AD14" s="87"/>
      <c r="AE14" s="87"/>
      <c r="AF14" s="87"/>
      <c r="AG14" s="87"/>
      <c r="AH14" s="87"/>
      <c r="AI14" s="87"/>
      <c r="AJ14" s="87"/>
      <c r="AK14" s="87"/>
      <c r="AL14" s="87"/>
    </row>
    <row r="15" spans="1:38" ht="14">
      <c r="A15" s="99"/>
      <c r="B15" s="107"/>
      <c r="C15" s="107"/>
      <c r="D15" s="107"/>
      <c r="E15" s="107"/>
      <c r="F15" s="107"/>
      <c r="G15" s="107"/>
      <c r="H15" s="468" t="str">
        <f>IF(I15&gt;0,"Überschuss mtl. Jahr ","Eigenaufwand mtl. Jahr ")&amp;I6</f>
        <v>Eigenaufwand mtl. Jahr 10</v>
      </c>
      <c r="I15" s="469">
        <f>_xlfn.XLOOKUP(I6,Ergebnistabelle!B7:B56,Ergebnistabelle!AL7:AL56)</f>
        <v>-111.75625106349814</v>
      </c>
      <c r="J15" s="126"/>
      <c r="K15" s="94" t="str">
        <f>K16</f>
        <v>Monatliche Zuzahlung</v>
      </c>
      <c r="L15" s="129">
        <f>ABS(L16)</f>
        <v>111.75625106349798</v>
      </c>
      <c r="M15" s="94"/>
      <c r="N15" s="126"/>
      <c r="O15" s="126"/>
      <c r="P15" s="126"/>
      <c r="Q15" s="87"/>
      <c r="R15" s="87"/>
      <c r="S15" s="87"/>
      <c r="T15" s="87"/>
      <c r="U15" s="87"/>
      <c r="V15" s="87"/>
      <c r="W15" s="87"/>
      <c r="X15" s="87"/>
      <c r="Y15" s="87"/>
      <c r="Z15" s="87"/>
      <c r="AA15" s="87"/>
      <c r="AB15" s="87"/>
      <c r="AC15" s="87"/>
      <c r="AD15" s="87"/>
      <c r="AE15" s="87"/>
      <c r="AF15" s="87"/>
      <c r="AG15" s="87"/>
      <c r="AH15" s="87"/>
      <c r="AI15" s="87"/>
      <c r="AJ15" s="87"/>
      <c r="AK15" s="87"/>
      <c r="AL15" s="87"/>
    </row>
    <row r="16" spans="1:38" ht="14.5" thickBot="1">
      <c r="A16" s="99"/>
      <c r="B16" s="107"/>
      <c r="C16" s="107"/>
      <c r="D16" s="108" t="s">
        <v>330</v>
      </c>
      <c r="E16" s="109" t="str">
        <f>I6 &amp; L21</f>
        <v>10 Jahre</v>
      </c>
      <c r="F16" s="107"/>
      <c r="G16" s="107"/>
      <c r="H16" s="472" t="str">
        <f>L32</f>
        <v>Rendite pro Jahr*:</v>
      </c>
      <c r="I16" s="473">
        <f>L31</f>
        <v>0.14793729368565778</v>
      </c>
      <c r="J16" s="126"/>
      <c r="K16" s="94" t="str">
        <f>IF(L16&lt;0,"Monatliche Zuzahlung","Monatlicher Überschuss")</f>
        <v>Monatliche Zuzahlung</v>
      </c>
      <c r="L16" s="129">
        <f>(L9-L8)</f>
        <v>-111.75625106349798</v>
      </c>
      <c r="M16" s="94"/>
      <c r="N16" s="126"/>
      <c r="O16" s="126"/>
      <c r="P16" s="126"/>
      <c r="Q16" s="87"/>
      <c r="R16" s="87"/>
      <c r="S16" s="87"/>
      <c r="T16" s="87"/>
      <c r="U16" s="87"/>
      <c r="V16" s="87"/>
      <c r="W16" s="87"/>
      <c r="X16" s="87"/>
      <c r="Y16" s="87"/>
      <c r="Z16" s="87"/>
      <c r="AA16" s="87"/>
      <c r="AB16" s="87"/>
      <c r="AC16" s="87"/>
      <c r="AD16" s="87"/>
      <c r="AE16" s="87"/>
      <c r="AF16" s="87"/>
      <c r="AG16" s="87"/>
      <c r="AH16" s="87"/>
      <c r="AI16" s="87"/>
      <c r="AJ16" s="87"/>
      <c r="AK16" s="87"/>
      <c r="AL16" s="87"/>
    </row>
    <row r="17" spans="1:44" ht="15.5">
      <c r="A17" s="99"/>
      <c r="B17" s="294" t="s">
        <v>0</v>
      </c>
      <c r="C17" s="108"/>
      <c r="D17" s="99"/>
      <c r="E17" s="109"/>
      <c r="F17" s="294" t="str">
        <f>IF(I6&lt;10,"Gewinn","Steuerfreier Gewinn")</f>
        <v>Steuerfreier Gewinn</v>
      </c>
      <c r="G17" s="107"/>
      <c r="H17" s="348"/>
      <c r="I17" s="349"/>
      <c r="J17" s="126"/>
      <c r="K17" s="385"/>
      <c r="M17" s="94"/>
      <c r="N17" s="126"/>
      <c r="O17" s="126"/>
      <c r="P17" s="126"/>
      <c r="Q17" s="87"/>
      <c r="R17" s="87"/>
      <c r="S17" s="87"/>
      <c r="T17" s="87"/>
      <c r="U17" s="87"/>
      <c r="V17" s="87"/>
      <c r="W17" s="87"/>
      <c r="X17" s="87"/>
      <c r="Y17" s="87"/>
      <c r="Z17" s="87"/>
      <c r="AA17" s="87"/>
      <c r="AB17" s="87"/>
      <c r="AC17" s="87"/>
      <c r="AD17" s="87"/>
      <c r="AE17" s="87"/>
      <c r="AF17" s="87"/>
      <c r="AG17" s="87"/>
      <c r="AH17" s="87"/>
      <c r="AI17" s="87"/>
      <c r="AJ17" s="87"/>
      <c r="AK17" s="87"/>
      <c r="AL17" s="87"/>
    </row>
    <row r="18" spans="1:44" ht="15.5">
      <c r="A18" s="99"/>
      <c r="B18" s="295">
        <f>'Eingabe Immodaten'!C5</f>
        <v>250122</v>
      </c>
      <c r="C18" s="99"/>
      <c r="D18" s="99"/>
      <c r="E18" s="99"/>
      <c r="F18" s="295">
        <f>F8-F28</f>
        <v>151204.82417519795</v>
      </c>
      <c r="G18" s="99"/>
      <c r="H18" s="79"/>
      <c r="I18" s="79"/>
      <c r="J18" s="126"/>
      <c r="K18" s="94"/>
      <c r="L18" s="94"/>
      <c r="M18" s="94"/>
      <c r="N18" s="126"/>
      <c r="O18" s="126"/>
      <c r="P18" s="126"/>
      <c r="Q18" s="87"/>
      <c r="R18" s="87"/>
      <c r="S18" s="87"/>
      <c r="T18" s="87"/>
      <c r="U18" s="87"/>
      <c r="V18" s="87"/>
      <c r="W18" s="87"/>
      <c r="X18" s="87"/>
      <c r="Y18" s="87"/>
      <c r="Z18" s="87"/>
      <c r="AA18" s="87"/>
      <c r="AB18" s="87"/>
      <c r="AC18" s="87"/>
      <c r="AD18" s="87"/>
      <c r="AE18" s="87"/>
      <c r="AF18" s="87"/>
      <c r="AG18" s="87"/>
      <c r="AH18" s="87"/>
      <c r="AI18" s="87"/>
      <c r="AJ18" s="87"/>
      <c r="AK18" s="87"/>
      <c r="AL18" s="87"/>
    </row>
    <row r="19" spans="1:44" ht="14">
      <c r="A19" s="99"/>
      <c r="B19" s="107"/>
      <c r="C19" s="107"/>
      <c r="D19" s="108" t="str">
        <f>IF(E19&gt;0,"Vermögen aus mtl. Überschüssen:","Investition gesamt:")</f>
        <v>Investition gesamt:</v>
      </c>
      <c r="E19" s="347">
        <f>_xlfn.XLOOKUP(I6,Ergebnistabelle!B7:B56,Ergebnistabelle!AM7:AM56)</f>
        <v>-38052.57009963756</v>
      </c>
      <c r="F19" s="107"/>
      <c r="G19" s="107"/>
      <c r="H19" s="79"/>
      <c r="I19" s="79"/>
      <c r="J19" s="126"/>
      <c r="K19" s="94"/>
      <c r="L19" s="94"/>
      <c r="M19" s="94"/>
      <c r="N19" s="126"/>
      <c r="O19" s="126"/>
      <c r="P19" s="126"/>
      <c r="Q19" s="87"/>
      <c r="R19" s="87"/>
      <c r="S19" s="87"/>
      <c r="T19" s="87"/>
      <c r="U19" s="87"/>
      <c r="V19" s="87"/>
      <c r="W19" s="87"/>
      <c r="X19" s="87"/>
      <c r="Y19" s="87"/>
      <c r="Z19" s="87"/>
      <c r="AA19" s="87"/>
      <c r="AB19" s="87"/>
      <c r="AC19" s="87"/>
      <c r="AD19" s="87"/>
      <c r="AE19" s="87"/>
      <c r="AF19" s="87"/>
      <c r="AG19" s="87"/>
      <c r="AH19" s="87"/>
      <c r="AI19" s="87"/>
      <c r="AJ19" s="87"/>
      <c r="AK19" s="87"/>
      <c r="AL19" s="87"/>
    </row>
    <row r="20" spans="1:44" ht="14">
      <c r="A20" s="99"/>
      <c r="B20" s="107"/>
      <c r="C20" s="107"/>
      <c r="D20" s="107"/>
      <c r="E20" s="265"/>
      <c r="F20" s="107"/>
      <c r="G20" s="107"/>
      <c r="J20" s="126"/>
      <c r="K20" s="94"/>
      <c r="L20" s="94"/>
      <c r="M20" s="94"/>
      <c r="N20" s="126"/>
      <c r="O20" s="126"/>
      <c r="P20" s="126"/>
      <c r="Q20" s="87"/>
      <c r="R20" s="87"/>
      <c r="S20" s="87"/>
      <c r="T20" s="87"/>
      <c r="U20" s="87"/>
      <c r="V20" s="87"/>
      <c r="W20" s="87"/>
      <c r="X20" s="87"/>
      <c r="Y20" s="87"/>
      <c r="Z20" s="87"/>
      <c r="AA20" s="87"/>
      <c r="AB20" s="87"/>
      <c r="AC20" s="87"/>
      <c r="AD20" s="87"/>
      <c r="AE20" s="87"/>
      <c r="AF20" s="87"/>
      <c r="AG20" s="87"/>
      <c r="AH20" s="87"/>
      <c r="AI20" s="87"/>
      <c r="AJ20" s="87"/>
      <c r="AK20" s="87"/>
      <c r="AL20" s="87"/>
    </row>
    <row r="21" spans="1:44" ht="14">
      <c r="A21" s="99"/>
      <c r="B21" s="107"/>
      <c r="C21" s="107"/>
      <c r="D21" s="107"/>
      <c r="E21" s="107"/>
      <c r="F21" s="107"/>
      <c r="G21" s="107"/>
      <c r="H21" s="126"/>
      <c r="I21" s="126"/>
      <c r="J21" s="126"/>
      <c r="K21" s="263"/>
      <c r="L21" s="94" t="str">
        <f>IF(I6&lt;2," Jahr"," Jahre")</f>
        <v xml:space="preserve"> Jahre</v>
      </c>
      <c r="M21" s="94"/>
      <c r="N21" s="126"/>
      <c r="O21" s="126"/>
      <c r="P21" s="126"/>
      <c r="Q21" s="126"/>
      <c r="R21" s="126"/>
      <c r="S21" s="87"/>
      <c r="T21" s="87"/>
      <c r="U21" s="87"/>
      <c r="V21" s="87"/>
      <c r="W21" s="87"/>
      <c r="X21" s="87"/>
      <c r="Y21" s="87"/>
      <c r="Z21" s="87"/>
      <c r="AA21" s="87"/>
      <c r="AB21" s="87"/>
      <c r="AC21" s="87"/>
      <c r="AD21" s="87"/>
      <c r="AE21" s="87"/>
      <c r="AF21" s="87"/>
      <c r="AG21" s="87"/>
      <c r="AH21" s="87"/>
      <c r="AI21" s="87"/>
      <c r="AJ21" s="87"/>
      <c r="AK21" s="87"/>
      <c r="AL21" s="87"/>
    </row>
    <row r="22" spans="1:44" ht="14">
      <c r="A22" s="99"/>
      <c r="B22" s="107"/>
      <c r="C22" s="107"/>
      <c r="D22" s="107"/>
      <c r="E22" s="107"/>
      <c r="F22" s="107"/>
      <c r="G22" s="107"/>
      <c r="H22" s="126"/>
      <c r="I22" s="126"/>
      <c r="J22" s="126"/>
      <c r="K22" s="94"/>
      <c r="L22" s="94"/>
      <c r="M22" s="94"/>
      <c r="N22" s="126"/>
      <c r="O22" s="126"/>
      <c r="P22" s="126"/>
      <c r="Q22" s="126"/>
      <c r="R22" s="126"/>
      <c r="S22" s="87"/>
      <c r="T22" s="87"/>
      <c r="U22" s="87"/>
      <c r="V22" s="87"/>
      <c r="W22" s="87"/>
      <c r="X22" s="87"/>
      <c r="Y22" s="87"/>
      <c r="Z22" s="87"/>
      <c r="AA22" s="87"/>
      <c r="AB22" s="87"/>
      <c r="AC22" s="87"/>
      <c r="AD22" s="87"/>
      <c r="AE22" s="87"/>
      <c r="AF22" s="87"/>
      <c r="AG22" s="87"/>
      <c r="AH22" s="87"/>
      <c r="AI22" s="87"/>
      <c r="AJ22" s="87"/>
      <c r="AK22" s="87"/>
      <c r="AL22" s="87"/>
    </row>
    <row r="23" spans="1:44" ht="14">
      <c r="A23" s="99"/>
      <c r="B23" s="107"/>
      <c r="C23" s="107"/>
      <c r="D23" s="107"/>
      <c r="E23" s="107"/>
      <c r="F23" s="107"/>
      <c r="G23" s="107"/>
      <c r="H23" s="126"/>
      <c r="I23" s="126"/>
      <c r="J23" s="126"/>
      <c r="K23" s="94"/>
      <c r="L23" s="94" t="s">
        <v>257</v>
      </c>
      <c r="M23" s="94" t="s">
        <v>245</v>
      </c>
      <c r="N23" s="126"/>
      <c r="O23" s="126"/>
      <c r="P23" s="126"/>
      <c r="Q23" s="126"/>
      <c r="R23" s="126"/>
      <c r="S23" s="87"/>
      <c r="T23" s="87"/>
      <c r="U23" s="87"/>
      <c r="V23" s="87"/>
      <c r="W23" s="87"/>
      <c r="X23" s="87"/>
      <c r="Y23" s="87"/>
      <c r="Z23" s="87"/>
      <c r="AA23" s="87"/>
      <c r="AB23" s="87"/>
      <c r="AC23" s="87"/>
      <c r="AD23" s="87"/>
      <c r="AE23" s="87"/>
      <c r="AF23" s="87"/>
      <c r="AG23" s="87"/>
      <c r="AH23" s="87"/>
      <c r="AI23" s="87"/>
      <c r="AJ23" s="87"/>
      <c r="AK23" s="87"/>
      <c r="AL23" s="87"/>
    </row>
    <row r="24" spans="1:44" ht="14">
      <c r="A24" s="99"/>
      <c r="B24" s="107"/>
      <c r="C24" s="107"/>
      <c r="D24" s="107"/>
      <c r="E24" s="107"/>
      <c r="F24" s="107"/>
      <c r="G24" s="107"/>
      <c r="H24" s="126"/>
      <c r="I24" s="126"/>
      <c r="J24" s="126"/>
      <c r="K24" s="94"/>
      <c r="L24" s="129">
        <f>E19</f>
        <v>-38052.57009963756</v>
      </c>
      <c r="M24" s="129">
        <f>F18</f>
        <v>151204.82417519795</v>
      </c>
      <c r="N24" s="126"/>
      <c r="O24" s="126"/>
      <c r="P24" s="126"/>
      <c r="Q24" s="126"/>
      <c r="R24" s="126"/>
      <c r="S24" s="87"/>
      <c r="T24" s="87"/>
      <c r="U24" s="87"/>
      <c r="V24" s="87"/>
      <c r="W24" s="87"/>
      <c r="X24" s="87"/>
      <c r="Y24" s="87"/>
      <c r="Z24" s="87"/>
      <c r="AA24" s="87"/>
      <c r="AB24" s="87"/>
      <c r="AC24" s="87"/>
      <c r="AD24" s="87"/>
      <c r="AE24" s="87"/>
      <c r="AF24" s="87"/>
      <c r="AG24" s="87"/>
      <c r="AH24" s="87"/>
      <c r="AI24" s="87"/>
      <c r="AJ24" s="87"/>
      <c r="AK24" s="87"/>
      <c r="AL24" s="87"/>
    </row>
    <row r="25" spans="1:44" ht="14">
      <c r="A25" s="99"/>
      <c r="B25" s="107"/>
      <c r="C25" s="107"/>
      <c r="D25" s="107"/>
      <c r="E25" s="107"/>
      <c r="F25" s="107"/>
      <c r="G25" s="107"/>
      <c r="H25" s="126"/>
      <c r="I25" s="126"/>
      <c r="J25" s="126"/>
      <c r="K25" s="94"/>
      <c r="L25" s="94"/>
      <c r="M25" s="94"/>
      <c r="N25" s="126"/>
      <c r="O25" s="126"/>
      <c r="P25" s="126"/>
      <c r="Q25" s="126"/>
      <c r="R25" s="126"/>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row>
    <row r="26" spans="1:44" ht="14">
      <c r="A26" s="99"/>
      <c r="B26" s="107"/>
      <c r="C26" s="107"/>
      <c r="D26" s="99"/>
      <c r="F26" s="107"/>
      <c r="G26" s="107"/>
      <c r="H26" s="126"/>
      <c r="I26" s="126"/>
      <c r="J26" s="126"/>
      <c r="K26" s="94"/>
      <c r="L26" s="98">
        <f>IF(L24&gt;0,"Gewinn höher als Investition",((F18+E19)/L24)/I6*-1)</f>
        <v>0.29735771796564708</v>
      </c>
      <c r="M26" s="94"/>
      <c r="N26" s="126"/>
      <c r="O26" s="126"/>
      <c r="P26" s="126"/>
      <c r="Q26" s="126"/>
      <c r="R26" s="126"/>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row>
    <row r="27" spans="1:44" ht="15.5">
      <c r="A27" s="99"/>
      <c r="B27" s="107"/>
      <c r="C27" s="107"/>
      <c r="D27" s="108" t="s">
        <v>278</v>
      </c>
      <c r="E27" s="237">
        <f>'Eingabe Immodaten'!C31/100</f>
        <v>0.02</v>
      </c>
      <c r="F27" s="294" t="s">
        <v>56</v>
      </c>
      <c r="G27" s="110" t="s">
        <v>34</v>
      </c>
      <c r="H27" s="126"/>
      <c r="I27" s="126"/>
      <c r="J27" s="126"/>
      <c r="K27" s="94"/>
      <c r="L27" s="353">
        <f>L26*I6</f>
        <v>2.9735771796564707</v>
      </c>
      <c r="M27" s="94" t="s">
        <v>297</v>
      </c>
      <c r="N27" s="126"/>
      <c r="O27" s="126"/>
      <c r="P27" s="126"/>
      <c r="Q27" s="126"/>
      <c r="R27" s="126"/>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row>
    <row r="28" spans="1:44" ht="15.5">
      <c r="A28" s="99"/>
      <c r="B28" s="107"/>
      <c r="C28" s="107"/>
      <c r="D28" s="107"/>
      <c r="E28" s="107"/>
      <c r="F28" s="295">
        <f>_xlfn.XLOOKUP(I6,Ergebnistabelle!B7:B56,Ergebnistabelle!W7:W56)</f>
        <v>189219.94604370292</v>
      </c>
      <c r="G28" s="107"/>
      <c r="H28" s="126"/>
      <c r="I28" s="126"/>
      <c r="J28" s="126"/>
      <c r="K28" s="94"/>
      <c r="L28" s="98">
        <f>(1+L27)^(365/(365*I6))-1</f>
        <v>0.14793729368565778</v>
      </c>
      <c r="M28" s="263" t="s">
        <v>296</v>
      </c>
      <c r="N28" s="126"/>
      <c r="O28" s="126"/>
      <c r="P28" s="126"/>
      <c r="Q28" s="126"/>
      <c r="R28" s="126"/>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row>
    <row r="29" spans="1:44" ht="14">
      <c r="A29" s="99"/>
      <c r="B29" s="107"/>
      <c r="C29" s="107"/>
      <c r="D29" s="107"/>
      <c r="E29" s="107"/>
      <c r="F29" s="107"/>
      <c r="G29" s="107"/>
      <c r="H29" s="369"/>
      <c r="J29" s="126"/>
      <c r="K29" s="94"/>
      <c r="L29" s="94"/>
      <c r="M29" s="271" t="s">
        <v>295</v>
      </c>
      <c r="N29" s="94" t="s">
        <v>294</v>
      </c>
      <c r="O29" s="126"/>
      <c r="P29" s="126"/>
      <c r="Q29" s="126"/>
      <c r="R29" s="126"/>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row>
    <row r="30" spans="1:44">
      <c r="A30" s="99"/>
      <c r="B30" s="99"/>
      <c r="C30" s="99"/>
      <c r="D30" s="99"/>
      <c r="E30" s="99"/>
      <c r="F30" s="99"/>
      <c r="G30" s="99"/>
      <c r="H30" s="376"/>
      <c r="I30" s="371"/>
      <c r="J30" s="126"/>
      <c r="K30" s="94"/>
      <c r="L30" s="98">
        <f>IF(L24&gt;0,"Gewinn höher als Investition",L28)</f>
        <v>0.14793729368565778</v>
      </c>
      <c r="M30" s="94"/>
      <c r="N30" s="126"/>
      <c r="O30" s="126"/>
      <c r="P30" s="126"/>
      <c r="Q30" s="126"/>
      <c r="R30" s="126"/>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row>
    <row r="31" spans="1:44" ht="14">
      <c r="A31" s="99"/>
      <c r="B31" s="107"/>
      <c r="C31" s="107"/>
      <c r="D31" s="107"/>
      <c r="E31" s="107"/>
      <c r="F31" s="107"/>
      <c r="G31" s="107"/>
      <c r="H31" s="377"/>
      <c r="I31" s="370"/>
      <c r="J31" s="372"/>
      <c r="K31" s="94"/>
      <c r="L31" s="279">
        <f>IF(L30&lt;0,"",L30)</f>
        <v>0.14793729368565778</v>
      </c>
      <c r="M31" s="94"/>
      <c r="N31" s="126"/>
      <c r="O31" s="126"/>
      <c r="P31" s="126"/>
      <c r="Q31" s="126"/>
      <c r="R31" s="126"/>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row>
    <row r="32" spans="1:44">
      <c r="A32" s="99"/>
      <c r="B32" s="99"/>
      <c r="C32" s="99"/>
      <c r="D32" s="99"/>
      <c r="E32" s="99"/>
      <c r="F32" s="99"/>
      <c r="G32" s="373"/>
      <c r="H32" s="377"/>
      <c r="I32" s="370"/>
      <c r="J32" s="372"/>
      <c r="K32" s="94"/>
      <c r="L32" s="94" t="str">
        <f>IF(L30&lt;0,"","Rendite pro Jahr*:")</f>
        <v>Rendite pro Jahr*:</v>
      </c>
      <c r="M32" s="94"/>
      <c r="N32" s="126"/>
      <c r="O32" s="126"/>
      <c r="P32" s="126"/>
      <c r="Q32" s="126"/>
      <c r="R32" s="126"/>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row>
    <row r="33" spans="1:44">
      <c r="A33" s="99"/>
      <c r="B33" s="111" t="s">
        <v>222</v>
      </c>
      <c r="C33" s="99"/>
      <c r="D33" s="112" t="s">
        <v>226</v>
      </c>
      <c r="E33" s="99"/>
      <c r="F33" s="99"/>
      <c r="G33" s="111"/>
      <c r="H33" s="376"/>
      <c r="I33" s="536" t="s">
        <v>381</v>
      </c>
      <c r="J33" s="374"/>
      <c r="K33" s="94"/>
      <c r="L33" s="94"/>
      <c r="M33" s="94"/>
      <c r="N33" s="126"/>
      <c r="O33" s="126"/>
      <c r="P33" s="126"/>
      <c r="Q33" s="126"/>
      <c r="R33" s="126"/>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row>
    <row r="34" spans="1:44">
      <c r="A34" s="99"/>
      <c r="B34" s="99"/>
      <c r="C34" s="99"/>
      <c r="D34" s="99"/>
      <c r="E34" s="99"/>
      <c r="F34" s="99"/>
      <c r="G34" s="99"/>
      <c r="H34" s="378"/>
      <c r="I34" s="369"/>
      <c r="J34" s="126"/>
      <c r="K34" s="126"/>
      <c r="L34" s="126"/>
      <c r="M34" s="126"/>
      <c r="N34" s="126"/>
      <c r="O34" s="126"/>
      <c r="P34" s="126"/>
      <c r="Q34" s="126"/>
      <c r="R34" s="126"/>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row>
    <row r="35" spans="1:44">
      <c r="A35" s="99"/>
      <c r="B35" s="99" t="str">
        <f>IF(L26&lt;0,"","*Möglicher Gewinn im Verhältnis zur Investition aus mtl. Unterdeckungen und Eigenkapital im ausgewählten Ergebnisjahr. (Jahresrendite = (1 + Gesamtrendite) hoch (365 / Haltedauer in Tagen) – 1)")</f>
        <v>*Möglicher Gewinn im Verhältnis zur Investition aus mtl. Unterdeckungen und Eigenkapital im ausgewählten Ergebnisjahr. (Jahresrendite = (1 + Gesamtrendite) hoch (365 / Haltedauer in Tagen) – 1)</v>
      </c>
      <c r="C35" s="99"/>
      <c r="D35" s="99"/>
      <c r="E35" s="99"/>
      <c r="F35" s="99"/>
      <c r="G35" s="99"/>
      <c r="H35" s="376"/>
      <c r="I35" s="375"/>
      <c r="J35" s="374"/>
      <c r="K35" s="126"/>
      <c r="L35" s="126"/>
      <c r="M35" s="126"/>
      <c r="N35" s="126"/>
      <c r="O35" s="126"/>
      <c r="P35" s="126"/>
      <c r="Q35" s="126"/>
      <c r="R35" s="126"/>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row>
    <row r="36" spans="1:44">
      <c r="A36" s="99"/>
      <c r="B36" s="99"/>
      <c r="C36" s="99"/>
      <c r="D36" s="99"/>
      <c r="E36" s="99"/>
      <c r="F36" s="99"/>
      <c r="G36" s="99"/>
      <c r="H36" s="369"/>
      <c r="J36" s="126"/>
      <c r="K36" s="126"/>
      <c r="L36" s="126"/>
      <c r="M36" s="126"/>
      <c r="N36" s="126"/>
      <c r="O36" s="126"/>
      <c r="P36" s="126"/>
      <c r="Q36" s="126"/>
      <c r="R36" s="126"/>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row>
    <row r="37" spans="1:44">
      <c r="A37" s="99"/>
      <c r="B37" s="99"/>
      <c r="C37" s="99"/>
      <c r="D37" s="99"/>
      <c r="E37" s="99"/>
      <c r="F37" s="99"/>
      <c r="G37" s="99"/>
      <c r="H37" s="379"/>
      <c r="I37" s="126"/>
      <c r="J37" s="126"/>
      <c r="K37" s="126"/>
      <c r="L37" s="126"/>
      <c r="M37" s="126"/>
      <c r="N37" s="126"/>
      <c r="O37" s="126"/>
      <c r="P37" s="126"/>
      <c r="Q37" s="126"/>
      <c r="R37" s="126"/>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row>
    <row r="38" spans="1:44">
      <c r="A38" s="99"/>
      <c r="B38" s="99"/>
      <c r="C38" s="99"/>
      <c r="D38" s="99"/>
      <c r="E38" s="99"/>
      <c r="F38" s="99"/>
      <c r="G38" s="99"/>
      <c r="H38" s="126"/>
      <c r="I38" s="126"/>
      <c r="J38" s="126"/>
      <c r="K38" s="126"/>
      <c r="L38" s="126"/>
      <c r="M38" s="126"/>
      <c r="N38" s="126"/>
      <c r="O38" s="126"/>
      <c r="P38" s="126"/>
      <c r="Q38" s="126"/>
      <c r="R38" s="126"/>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row>
    <row r="39" spans="1:44">
      <c r="A39" s="99"/>
      <c r="B39" s="99"/>
      <c r="C39" s="99"/>
      <c r="D39" s="99"/>
      <c r="E39" s="99"/>
      <c r="F39" s="99"/>
      <c r="G39" s="99"/>
      <c r="H39" s="126"/>
      <c r="I39" s="126"/>
      <c r="J39" s="126"/>
      <c r="K39" s="126"/>
      <c r="L39" s="126"/>
      <c r="M39" s="126"/>
      <c r="N39" s="126"/>
      <c r="O39" s="126"/>
      <c r="P39" s="126"/>
      <c r="Q39" s="126"/>
      <c r="R39" s="126"/>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row>
    <row r="40" spans="1:44">
      <c r="A40" s="99"/>
      <c r="B40" s="99"/>
      <c r="C40" s="99"/>
      <c r="D40" s="99"/>
      <c r="E40" s="99"/>
      <c r="F40" s="99"/>
      <c r="G40" s="99"/>
      <c r="H40" s="126"/>
      <c r="I40" s="126"/>
      <c r="J40" s="126"/>
      <c r="K40" s="126"/>
      <c r="L40" s="126"/>
      <c r="M40" s="126"/>
      <c r="N40" s="126"/>
      <c r="O40" s="126"/>
      <c r="P40" s="126"/>
      <c r="Q40" s="126"/>
      <c r="R40" s="126"/>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row>
    <row r="41" spans="1:44">
      <c r="A41" s="99"/>
      <c r="B41" s="99"/>
      <c r="C41" s="99"/>
      <c r="D41" s="99"/>
      <c r="E41" s="99"/>
      <c r="F41" s="99"/>
      <c r="G41" s="99"/>
      <c r="H41" s="99"/>
      <c r="I41" s="99"/>
      <c r="J41" s="126"/>
      <c r="K41" s="126"/>
      <c r="L41" s="126"/>
      <c r="M41" s="126"/>
      <c r="N41" s="126"/>
      <c r="O41" s="126"/>
      <c r="P41" s="126"/>
      <c r="Q41" s="126"/>
      <c r="R41" s="126"/>
      <c r="S41" s="87"/>
      <c r="T41" s="87"/>
      <c r="U41" s="87"/>
      <c r="V41" s="87"/>
      <c r="W41" s="87"/>
      <c r="X41" s="87"/>
      <c r="Y41" s="87"/>
      <c r="Z41" s="87"/>
      <c r="AA41" s="87"/>
      <c r="AB41" s="87"/>
      <c r="AC41" s="87"/>
      <c r="AD41" s="87"/>
      <c r="AE41" s="87"/>
      <c r="AF41" s="87"/>
      <c r="AG41" s="87"/>
      <c r="AH41" s="87"/>
      <c r="AI41" s="87"/>
      <c r="AJ41" s="87"/>
      <c r="AK41" s="87"/>
      <c r="AL41" s="87"/>
    </row>
    <row r="42" spans="1:44">
      <c r="A42" s="99"/>
      <c r="B42" s="99"/>
      <c r="C42" s="99"/>
      <c r="D42" s="99"/>
      <c r="E42" s="99"/>
      <c r="F42" s="99"/>
      <c r="G42" s="99"/>
      <c r="H42" s="99"/>
      <c r="I42" s="99"/>
      <c r="J42" s="126"/>
      <c r="K42" s="126"/>
      <c r="L42" s="126"/>
      <c r="M42" s="126"/>
      <c r="N42" s="126"/>
      <c r="O42" s="126"/>
      <c r="P42" s="126"/>
      <c r="Q42" s="126"/>
      <c r="R42" s="126"/>
      <c r="S42" s="87"/>
      <c r="T42" s="87"/>
      <c r="U42" s="87"/>
      <c r="V42" s="87"/>
      <c r="W42" s="87"/>
      <c r="X42" s="87"/>
      <c r="Y42" s="87"/>
      <c r="Z42" s="87"/>
      <c r="AA42" s="87"/>
      <c r="AB42" s="87"/>
      <c r="AC42" s="87"/>
      <c r="AD42" s="87"/>
      <c r="AE42" s="87"/>
      <c r="AF42" s="87"/>
      <c r="AG42" s="87"/>
      <c r="AH42" s="87"/>
      <c r="AI42" s="87"/>
      <c r="AJ42" s="87"/>
      <c r="AK42" s="87"/>
      <c r="AL42" s="87"/>
    </row>
    <row r="43" spans="1:44">
      <c r="A43" s="99"/>
      <c r="B43" s="99"/>
      <c r="C43" s="99"/>
      <c r="D43" s="99"/>
      <c r="E43" s="99"/>
      <c r="F43" s="99"/>
      <c r="G43" s="99"/>
      <c r="H43" s="99"/>
      <c r="I43" s="99"/>
      <c r="J43" s="126"/>
      <c r="K43" s="126"/>
      <c r="L43" s="126"/>
      <c r="M43" s="126"/>
      <c r="N43" s="126"/>
      <c r="O43" s="126"/>
      <c r="P43" s="126"/>
      <c r="Q43" s="126"/>
      <c r="R43" s="126"/>
      <c r="S43" s="87"/>
      <c r="T43" s="87"/>
      <c r="U43" s="87"/>
      <c r="V43" s="87"/>
      <c r="W43" s="87"/>
      <c r="X43" s="87"/>
      <c r="Y43" s="87"/>
      <c r="Z43" s="87"/>
      <c r="AA43" s="87"/>
      <c r="AB43" s="87"/>
      <c r="AC43" s="87"/>
      <c r="AD43" s="87"/>
      <c r="AE43" s="87"/>
      <c r="AF43" s="87"/>
      <c r="AG43" s="87"/>
      <c r="AH43" s="87"/>
      <c r="AI43" s="87"/>
      <c r="AJ43" s="87"/>
      <c r="AK43" s="87"/>
      <c r="AL43" s="87"/>
    </row>
    <row r="44" spans="1:44">
      <c r="A44" s="99"/>
      <c r="B44" s="99"/>
      <c r="C44" s="99"/>
      <c r="D44" s="99"/>
      <c r="E44" s="99"/>
      <c r="F44" s="99"/>
      <c r="G44" s="99"/>
      <c r="H44" s="99"/>
      <c r="I44" s="99"/>
      <c r="J44" s="126"/>
      <c r="K44" s="126"/>
      <c r="L44" s="126"/>
      <c r="M44" s="126"/>
      <c r="N44" s="126"/>
      <c r="O44" s="126"/>
      <c r="P44" s="126"/>
      <c r="Q44" s="126"/>
      <c r="R44" s="126"/>
      <c r="S44" s="87"/>
      <c r="T44" s="87"/>
      <c r="U44" s="87"/>
      <c r="V44" s="87"/>
      <c r="W44" s="87"/>
      <c r="X44" s="87"/>
      <c r="Y44" s="87"/>
      <c r="Z44" s="87"/>
      <c r="AA44" s="87"/>
      <c r="AB44" s="87"/>
      <c r="AC44" s="87"/>
      <c r="AD44" s="87"/>
      <c r="AE44" s="87"/>
      <c r="AF44" s="87"/>
      <c r="AG44" s="87"/>
      <c r="AH44" s="87"/>
      <c r="AI44" s="87"/>
      <c r="AJ44" s="87"/>
      <c r="AK44" s="87"/>
      <c r="AL44" s="87"/>
    </row>
    <row r="45" spans="1:44">
      <c r="A45" s="99"/>
      <c r="B45" s="99"/>
      <c r="C45" s="99"/>
      <c r="D45" s="99"/>
      <c r="E45" s="99"/>
      <c r="F45" s="99"/>
      <c r="G45" s="99"/>
      <c r="H45" s="99"/>
      <c r="I45" s="99"/>
      <c r="J45" s="126"/>
      <c r="K45" s="126"/>
      <c r="L45" s="126"/>
      <c r="M45" s="126"/>
      <c r="N45" s="126"/>
      <c r="O45" s="126"/>
      <c r="P45" s="126"/>
      <c r="Q45" s="126"/>
      <c r="R45" s="126"/>
      <c r="S45" s="87"/>
      <c r="T45" s="87"/>
      <c r="U45" s="87"/>
      <c r="V45" s="87"/>
      <c r="W45" s="87"/>
      <c r="X45" s="87"/>
      <c r="Y45" s="87"/>
      <c r="Z45" s="87"/>
      <c r="AA45" s="87"/>
      <c r="AB45" s="87"/>
      <c r="AC45" s="87"/>
      <c r="AD45" s="87"/>
      <c r="AE45" s="87"/>
      <c r="AF45" s="87"/>
      <c r="AG45" s="87"/>
      <c r="AH45" s="87"/>
      <c r="AI45" s="87"/>
      <c r="AJ45" s="87"/>
      <c r="AK45" s="87"/>
      <c r="AL45" s="87"/>
    </row>
    <row r="46" spans="1:44">
      <c r="A46" s="99"/>
      <c r="B46" s="99"/>
      <c r="C46" s="99"/>
      <c r="D46" s="99"/>
      <c r="E46" s="99"/>
      <c r="F46" s="99"/>
      <c r="G46" s="99"/>
      <c r="H46" s="99"/>
      <c r="I46" s="99"/>
      <c r="J46" s="126"/>
      <c r="K46" s="126"/>
      <c r="L46" s="126"/>
      <c r="M46" s="126"/>
      <c r="N46" s="126"/>
      <c r="O46" s="126"/>
      <c r="P46" s="126"/>
      <c r="Q46" s="126"/>
      <c r="R46" s="126"/>
      <c r="S46" s="87"/>
      <c r="T46" s="87"/>
      <c r="U46" s="87"/>
      <c r="V46" s="87"/>
      <c r="W46" s="87"/>
      <c r="X46" s="87"/>
      <c r="Y46" s="87"/>
      <c r="Z46" s="87"/>
      <c r="AA46" s="87"/>
      <c r="AB46" s="87"/>
      <c r="AC46" s="87"/>
      <c r="AD46" s="87"/>
      <c r="AE46" s="87"/>
      <c r="AF46" s="87"/>
      <c r="AG46" s="87"/>
      <c r="AH46" s="87"/>
      <c r="AI46" s="87"/>
      <c r="AJ46" s="87"/>
      <c r="AK46" s="87"/>
      <c r="AL46" s="87"/>
    </row>
    <row r="47" spans="1:44">
      <c r="A47" s="99"/>
      <c r="B47" s="99"/>
      <c r="C47" s="99"/>
      <c r="D47" s="99"/>
      <c r="E47" s="99"/>
      <c r="F47" s="99"/>
      <c r="G47" s="99"/>
      <c r="H47" s="99"/>
      <c r="I47" s="99"/>
      <c r="J47" s="126"/>
      <c r="K47" s="126"/>
      <c r="L47" s="126"/>
      <c r="M47" s="126"/>
      <c r="N47" s="126"/>
      <c r="O47" s="126"/>
      <c r="P47" s="126"/>
      <c r="Q47" s="126"/>
      <c r="R47" s="126"/>
      <c r="S47" s="87"/>
      <c r="T47" s="87"/>
      <c r="U47" s="87"/>
      <c r="V47" s="87"/>
      <c r="W47" s="87"/>
      <c r="X47" s="87"/>
      <c r="Y47" s="87"/>
      <c r="Z47" s="87"/>
      <c r="AA47" s="87"/>
      <c r="AB47" s="87"/>
      <c r="AC47" s="87"/>
      <c r="AD47" s="87"/>
      <c r="AE47" s="87"/>
      <c r="AF47" s="87"/>
      <c r="AG47" s="87"/>
      <c r="AH47" s="87"/>
      <c r="AI47" s="87"/>
      <c r="AJ47" s="87"/>
      <c r="AK47" s="87"/>
      <c r="AL47" s="87"/>
    </row>
    <row r="48" spans="1:44">
      <c r="A48" s="99"/>
      <c r="B48" s="99"/>
      <c r="C48" s="99"/>
      <c r="D48" s="99"/>
      <c r="E48" s="99"/>
      <c r="F48" s="99"/>
      <c r="G48" s="99"/>
      <c r="H48" s="99"/>
      <c r="I48" s="99"/>
      <c r="J48" s="126"/>
      <c r="K48" s="126"/>
      <c r="L48" s="126"/>
      <c r="M48" s="126"/>
      <c r="N48" s="126"/>
      <c r="O48" s="126"/>
      <c r="P48" s="126"/>
      <c r="Q48" s="126"/>
      <c r="R48" s="126"/>
      <c r="S48" s="87"/>
      <c r="T48" s="87"/>
      <c r="U48" s="87"/>
      <c r="V48" s="87"/>
      <c r="W48" s="87"/>
      <c r="X48" s="87"/>
      <c r="Y48" s="87"/>
      <c r="Z48" s="87"/>
      <c r="AA48" s="87"/>
      <c r="AB48" s="87"/>
      <c r="AC48" s="87"/>
      <c r="AD48" s="87"/>
      <c r="AE48" s="87"/>
      <c r="AF48" s="87"/>
      <c r="AG48" s="87"/>
      <c r="AH48" s="87"/>
      <c r="AI48" s="87"/>
      <c r="AJ48" s="87"/>
      <c r="AK48" s="87"/>
      <c r="AL48" s="87"/>
    </row>
    <row r="49" spans="1:38">
      <c r="A49" s="99"/>
      <c r="B49" s="99"/>
      <c r="C49" s="99"/>
      <c r="D49" s="99"/>
      <c r="E49" s="99"/>
      <c r="F49" s="99"/>
      <c r="G49" s="99"/>
      <c r="H49" s="99"/>
      <c r="I49" s="99"/>
      <c r="J49" s="126"/>
      <c r="K49" s="94"/>
      <c r="L49" s="94"/>
      <c r="M49" s="94"/>
      <c r="N49" s="94"/>
      <c r="O49" s="94"/>
      <c r="P49" s="126"/>
      <c r="Q49" s="126"/>
      <c r="R49" s="126"/>
      <c r="S49" s="87"/>
      <c r="T49" s="87"/>
      <c r="U49" s="87"/>
      <c r="V49" s="87"/>
      <c r="W49" s="87"/>
      <c r="X49" s="87"/>
      <c r="Y49" s="87"/>
      <c r="Z49" s="87"/>
      <c r="AA49" s="87"/>
      <c r="AB49" s="87"/>
      <c r="AC49" s="87"/>
      <c r="AD49" s="87"/>
      <c r="AE49" s="87"/>
      <c r="AF49" s="87"/>
      <c r="AG49" s="87"/>
      <c r="AH49" s="87"/>
      <c r="AI49" s="87"/>
      <c r="AJ49" s="87"/>
      <c r="AK49" s="87"/>
      <c r="AL49" s="87"/>
    </row>
    <row r="50" spans="1:38">
      <c r="A50" s="99"/>
      <c r="B50" s="99"/>
      <c r="C50" s="99"/>
      <c r="D50" s="99"/>
      <c r="E50" s="99"/>
      <c r="F50" s="99"/>
      <c r="G50" s="99"/>
      <c r="H50" s="99"/>
      <c r="I50" s="99"/>
      <c r="J50" s="126"/>
      <c r="K50" s="94"/>
      <c r="L50" s="94"/>
      <c r="M50" s="94"/>
      <c r="N50" s="94"/>
      <c r="O50" s="94"/>
      <c r="P50" s="126"/>
      <c r="Q50" s="126"/>
      <c r="R50" s="126"/>
      <c r="S50" s="87"/>
      <c r="T50" s="87"/>
      <c r="U50" s="87"/>
      <c r="V50" s="87"/>
      <c r="W50" s="87"/>
      <c r="X50" s="87"/>
      <c r="Y50" s="87"/>
      <c r="Z50" s="87"/>
      <c r="AA50" s="87"/>
      <c r="AB50" s="87"/>
      <c r="AC50" s="87"/>
      <c r="AD50" s="87"/>
      <c r="AE50" s="87"/>
      <c r="AF50" s="87"/>
      <c r="AG50" s="87"/>
      <c r="AH50" s="87"/>
      <c r="AI50" s="87"/>
      <c r="AJ50" s="87"/>
      <c r="AK50" s="87"/>
      <c r="AL50" s="87"/>
    </row>
    <row r="51" spans="1:38">
      <c r="A51" s="99"/>
      <c r="B51" s="99"/>
      <c r="C51" s="99"/>
      <c r="D51" s="99"/>
      <c r="E51" s="99"/>
      <c r="F51" s="99"/>
      <c r="G51" s="99"/>
      <c r="H51" s="99"/>
      <c r="I51" s="99"/>
      <c r="J51" s="126"/>
      <c r="K51" s="94"/>
      <c r="L51" s="94"/>
      <c r="M51" s="94"/>
      <c r="N51" s="94"/>
      <c r="O51" s="94"/>
      <c r="P51" s="126"/>
      <c r="Q51" s="126"/>
      <c r="R51" s="126"/>
      <c r="S51" s="87"/>
      <c r="T51" s="87"/>
      <c r="U51" s="87"/>
      <c r="V51" s="87"/>
      <c r="W51" s="87"/>
      <c r="X51" s="87"/>
      <c r="Y51" s="87"/>
      <c r="Z51" s="87"/>
      <c r="AA51" s="87"/>
      <c r="AB51" s="87"/>
      <c r="AC51" s="87"/>
      <c r="AD51" s="87"/>
      <c r="AE51" s="87"/>
      <c r="AF51" s="87"/>
      <c r="AG51" s="87"/>
      <c r="AH51" s="87"/>
      <c r="AI51" s="87"/>
      <c r="AJ51" s="87"/>
      <c r="AK51" s="87"/>
      <c r="AL51" s="87"/>
    </row>
    <row r="52" spans="1:38">
      <c r="A52" s="99"/>
      <c r="B52" s="99"/>
      <c r="C52" s="99"/>
      <c r="D52" s="99"/>
      <c r="E52" s="99"/>
      <c r="F52" s="99"/>
      <c r="G52" s="99"/>
      <c r="J52" s="126"/>
      <c r="K52" s="94"/>
      <c r="L52" s="94"/>
      <c r="M52" s="94"/>
      <c r="N52" s="94"/>
      <c r="O52" s="94"/>
      <c r="P52" s="126"/>
      <c r="Q52" s="126"/>
      <c r="R52" s="126"/>
      <c r="S52" s="87"/>
      <c r="T52" s="87"/>
      <c r="U52" s="87"/>
      <c r="V52" s="87"/>
      <c r="W52" s="87"/>
      <c r="X52" s="87"/>
      <c r="Y52" s="87"/>
      <c r="Z52" s="87"/>
      <c r="AA52" s="87"/>
      <c r="AB52" s="87"/>
      <c r="AC52" s="87"/>
      <c r="AD52" s="87"/>
      <c r="AE52" s="87"/>
      <c r="AF52" s="87"/>
      <c r="AG52" s="87"/>
      <c r="AH52" s="87"/>
      <c r="AI52" s="87"/>
      <c r="AJ52" s="87"/>
      <c r="AK52" s="87"/>
      <c r="AL52" s="87"/>
    </row>
    <row r="53" spans="1:38">
      <c r="A53" s="99"/>
      <c r="B53" s="99"/>
      <c r="C53" s="99"/>
      <c r="D53" s="99"/>
      <c r="E53" s="99"/>
      <c r="F53" s="99"/>
      <c r="G53" s="99"/>
      <c r="J53" s="126"/>
      <c r="K53" s="126"/>
      <c r="L53" s="126"/>
      <c r="M53" s="126"/>
      <c r="N53" s="126"/>
      <c r="O53" s="126"/>
      <c r="P53" s="126"/>
      <c r="Q53" s="126"/>
      <c r="R53" s="126"/>
      <c r="S53" s="87"/>
      <c r="T53" s="87"/>
      <c r="U53" s="87"/>
      <c r="V53" s="87"/>
      <c r="W53" s="87"/>
      <c r="X53" s="87"/>
      <c r="Y53" s="87"/>
      <c r="Z53" s="87"/>
      <c r="AA53" s="87"/>
      <c r="AB53" s="87"/>
      <c r="AC53" s="87"/>
      <c r="AD53" s="87"/>
      <c r="AE53" s="87"/>
      <c r="AF53" s="87"/>
      <c r="AG53" s="87"/>
      <c r="AH53" s="87"/>
      <c r="AI53" s="87"/>
      <c r="AJ53" s="87"/>
      <c r="AK53" s="87"/>
      <c r="AL53" s="87"/>
    </row>
    <row r="54" spans="1:38">
      <c r="A54" s="99"/>
      <c r="B54" s="99"/>
      <c r="C54" s="99"/>
      <c r="D54" s="99"/>
      <c r="E54" s="99"/>
      <c r="F54" s="99"/>
      <c r="G54" s="99"/>
      <c r="J54" s="126"/>
      <c r="K54" s="126"/>
      <c r="L54" s="126"/>
      <c r="M54" s="126"/>
      <c r="N54" s="126"/>
      <c r="O54" s="126"/>
      <c r="P54" s="126"/>
      <c r="Q54" s="126"/>
      <c r="R54" s="126"/>
      <c r="S54" s="87"/>
      <c r="T54" s="87"/>
      <c r="U54" s="87"/>
      <c r="V54" s="87"/>
      <c r="W54" s="87"/>
      <c r="X54" s="87"/>
      <c r="Y54" s="87"/>
      <c r="Z54" s="87"/>
      <c r="AA54" s="87"/>
      <c r="AB54" s="87"/>
      <c r="AC54" s="87"/>
      <c r="AD54" s="87"/>
      <c r="AE54" s="87"/>
      <c r="AF54" s="87"/>
      <c r="AG54" s="87"/>
      <c r="AH54" s="87"/>
      <c r="AI54" s="87"/>
      <c r="AJ54" s="87"/>
      <c r="AK54" s="87"/>
      <c r="AL54" s="87"/>
    </row>
    <row r="55" spans="1:38">
      <c r="A55" s="99"/>
      <c r="B55" s="99"/>
      <c r="C55" s="99"/>
      <c r="D55" s="99"/>
      <c r="E55" s="99"/>
      <c r="F55" s="99"/>
      <c r="G55" s="99"/>
      <c r="J55" s="268"/>
      <c r="K55" s="268"/>
      <c r="L55" s="268"/>
      <c r="M55" s="268"/>
      <c r="N55" s="268"/>
      <c r="O55" s="268"/>
      <c r="P55" s="268"/>
      <c r="Q55" s="268"/>
      <c r="R55" s="268"/>
      <c r="S55" s="298"/>
      <c r="T55" s="298"/>
      <c r="U55" s="298"/>
      <c r="V55" s="298"/>
      <c r="W55" s="298"/>
      <c r="X55" s="298"/>
      <c r="Y55" s="298"/>
      <c r="Z55" s="298"/>
      <c r="AA55" s="298"/>
      <c r="AB55" s="298"/>
      <c r="AC55" s="298"/>
      <c r="AD55" s="298"/>
      <c r="AE55" s="298"/>
      <c r="AF55" s="298"/>
    </row>
  </sheetData>
  <sheetProtection algorithmName="SHA-512" hashValue="FokB23PddClX6+tsx4EdLpVRmuYu9q9Cag6ygJHrVdWfUvyhjP+dAIVz8tGlL4sWR1q6/cVPmqQPfiOwbxMXPw==" saltValue="6O9d79bp+4m6tIvdpDycJg==" spinCount="100000" sheet="1" objects="1" scenarios="1"/>
  <hyperlinks>
    <hyperlink ref="B33" location="Beispielberechnung!A1" display="zurück" xr:uid="{DB0615C6-3945-4BD3-8C77-18515CC5CB32}"/>
    <hyperlink ref="D33" location="'Eingabe Käuferdaten'!A1" display="Menü" xr:uid="{DD50188E-1E63-421A-BA04-C07978A55A97}"/>
    <hyperlink ref="I33" location="'Vergleich Sparplan'!A1" display="Vergleich mit einem Sparplan" xr:uid="{3F33568C-D627-455B-B6E8-D504CF6E732C}"/>
  </hyperlinks>
  <pageMargins left="0.70866141732283472" right="0.70866141732283472" top="0.78740157480314965" bottom="0.78740157480314965" header="0.31496062992125984" footer="0.31496062992125984"/>
  <pageSetup paperSize="9" scale="6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Ergebnisanzeige für Jahr..." prompt="Wählen Sie das Jahr aus, für das Sie das Ergebnis sehen möchten" xr:uid="{8A0EBD3E-8B01-4F96-8845-823F7C288468}">
          <x14:formula1>
            <xm:f>Ergebnistabelle!$B$7:$B$56</xm:f>
          </x14:formula1>
          <xm:sqref>I6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EC78-3840-4A12-8568-67BABD8C015F}">
  <sheetPr codeName="Tabelle11">
    <tabColor rgb="FF92D050"/>
  </sheetPr>
  <dimension ref="B1:S91"/>
  <sheetViews>
    <sheetView topLeftCell="A6" zoomScaleNormal="100" workbookViewId="0"/>
  </sheetViews>
  <sheetFormatPr baseColWidth="10" defaultColWidth="10.81640625" defaultRowHeight="12.5"/>
  <cols>
    <col min="1" max="1" width="3.81640625" style="99" customWidth="1"/>
    <col min="2" max="2" width="36.81640625" style="99" bestFit="1" customWidth="1"/>
    <col min="3" max="3" width="23.1796875" style="99" bestFit="1" customWidth="1"/>
    <col min="4" max="4" width="7.1796875" style="99" bestFit="1" customWidth="1"/>
    <col min="5" max="5" width="25.81640625" style="99" customWidth="1"/>
    <col min="6" max="6" width="8.7265625" style="99" customWidth="1"/>
    <col min="7" max="7" width="8.1796875" style="99" customWidth="1"/>
    <col min="8" max="8" width="21" style="99" bestFit="1" customWidth="1"/>
    <col min="9" max="9" width="13.1796875" style="99" bestFit="1" customWidth="1"/>
    <col min="10" max="10" width="14.81640625" style="99" bestFit="1" customWidth="1"/>
    <col min="11" max="11" width="12" style="99" bestFit="1" customWidth="1"/>
    <col min="12" max="12" width="12.54296875" style="99" customWidth="1"/>
    <col min="13" max="13" width="21.453125" style="99" bestFit="1" customWidth="1"/>
    <col min="14" max="14" width="12.54296875" style="99" customWidth="1"/>
    <col min="15" max="15" width="23" style="99" bestFit="1" customWidth="1"/>
    <col min="16" max="16384" width="10.81640625" style="99"/>
  </cols>
  <sheetData>
    <row r="1" spans="2:17">
      <c r="C1" s="116"/>
      <c r="H1" s="403"/>
      <c r="L1" s="405"/>
    </row>
    <row r="2" spans="2:17" ht="15.5">
      <c r="B2" s="161" t="s">
        <v>381</v>
      </c>
      <c r="D2" s="400"/>
      <c r="E2" s="400"/>
      <c r="F2" s="400"/>
      <c r="G2" s="161" t="s">
        <v>362</v>
      </c>
      <c r="H2" s="161"/>
      <c r="I2" s="400"/>
      <c r="J2" s="400"/>
      <c r="K2" s="400"/>
      <c r="L2" s="400"/>
      <c r="M2" s="400"/>
      <c r="N2" s="400"/>
    </row>
    <row r="3" spans="2:17" ht="15.5" thickBot="1">
      <c r="B3" s="400"/>
      <c r="C3" s="116" t="s">
        <v>374</v>
      </c>
      <c r="D3" s="400"/>
      <c r="E3" s="400"/>
      <c r="F3" s="400"/>
      <c r="G3" s="400"/>
      <c r="H3" s="400"/>
      <c r="I3" s="400"/>
      <c r="J3" s="400"/>
      <c r="K3" s="407"/>
      <c r="L3" s="400"/>
      <c r="M3" s="400"/>
      <c r="N3" s="400"/>
    </row>
    <row r="4" spans="2:17" ht="15.5">
      <c r="B4" s="296" t="s">
        <v>109</v>
      </c>
      <c r="C4" s="413"/>
      <c r="D4" s="413"/>
      <c r="E4" s="414"/>
      <c r="F4" s="400"/>
      <c r="G4" s="543" t="s">
        <v>8</v>
      </c>
      <c r="H4" s="544" t="s">
        <v>373</v>
      </c>
      <c r="I4" s="544" t="s">
        <v>369</v>
      </c>
      <c r="J4" s="544" t="s">
        <v>360</v>
      </c>
      <c r="K4" s="544" t="s">
        <v>371</v>
      </c>
      <c r="L4" s="544" t="s">
        <v>52</v>
      </c>
      <c r="M4" s="544" t="s">
        <v>372</v>
      </c>
      <c r="N4" s="544" t="s">
        <v>6</v>
      </c>
      <c r="O4" s="545" t="s">
        <v>366</v>
      </c>
      <c r="Q4" s="110" t="s">
        <v>370</v>
      </c>
    </row>
    <row r="5" spans="2:17" ht="15.5">
      <c r="B5" s="462" t="s">
        <v>378</v>
      </c>
      <c r="C5" s="532">
        <v>0.05</v>
      </c>
      <c r="D5" s="463" t="s">
        <v>358</v>
      </c>
      <c r="E5" s="415"/>
      <c r="F5" s="400"/>
      <c r="G5" s="549">
        <v>1</v>
      </c>
      <c r="H5" s="419">
        <f>C10</f>
        <v>18759</v>
      </c>
      <c r="I5" s="419">
        <f>IF(Q5&gt;0,Q5,"0")</f>
        <v>207.12925849999979</v>
      </c>
      <c r="J5" s="420">
        <f t="shared" ref="J5:J36" si="0">I5*C$12</f>
        <v>2485.5511019999976</v>
      </c>
      <c r="K5" s="419">
        <f>H5+J5</f>
        <v>21244.551101999998</v>
      </c>
      <c r="L5" s="419">
        <f t="shared" ref="L5:L36" si="1">IF(G5="","",K5*C$5)</f>
        <v>1062.2275551</v>
      </c>
      <c r="M5" s="419">
        <f>IF(G5="","",K5+L5)</f>
        <v>22306.778657099996</v>
      </c>
      <c r="N5" s="419">
        <f t="shared" ref="N5:N36" si="2">IF(L5&lt;$C$8,0,((L5-$C$8)*$C$9))</f>
        <v>16.412517657625003</v>
      </c>
      <c r="O5" s="419">
        <f t="shared" ref="O5:O54" si="3">IFERROR(IF(G5="","",M5-N5),"")</f>
        <v>22290.366139442373</v>
      </c>
      <c r="Q5" s="94">
        <f>IF(G5="","",-Ergebnistabelle!AL7)</f>
        <v>207.12925849999979</v>
      </c>
    </row>
    <row r="6" spans="2:17" ht="15.5">
      <c r="B6" s="462" t="s">
        <v>359</v>
      </c>
      <c r="C6" s="533">
        <v>50</v>
      </c>
      <c r="D6" s="463" t="s">
        <v>54</v>
      </c>
      <c r="E6" s="415"/>
      <c r="F6" s="400"/>
      <c r="G6" s="549">
        <f t="shared" ref="G6:G37" si="4">IF(G5&gt;=$C$6,NA(),G5+1)</f>
        <v>2</v>
      </c>
      <c r="H6" s="419">
        <f>IF(G6="","",O5)</f>
        <v>22290.366139442373</v>
      </c>
      <c r="I6" s="419">
        <f t="shared" ref="I6:I54" si="5">IF(Q6&gt;0,Q6,"0")</f>
        <v>197.41232939977772</v>
      </c>
      <c r="J6" s="420">
        <f t="shared" si="0"/>
        <v>2368.9479527973326</v>
      </c>
      <c r="K6" s="419">
        <f>H6+J6</f>
        <v>24659.314092239707</v>
      </c>
      <c r="L6" s="419">
        <f t="shared" si="1"/>
        <v>1232.9657046119855</v>
      </c>
      <c r="M6" s="419">
        <f t="shared" ref="M6:M54" si="6">IF(G6="","",K6+L6)</f>
        <v>25892.279796851693</v>
      </c>
      <c r="N6" s="419">
        <f t="shared" si="2"/>
        <v>61.444704591411181</v>
      </c>
      <c r="O6" s="419">
        <f t="shared" si="3"/>
        <v>25830.835092260284</v>
      </c>
      <c r="Q6" s="94">
        <f>IF(G6="","",-Ergebnistabelle!AL8)</f>
        <v>197.41232939977772</v>
      </c>
    </row>
    <row r="7" spans="2:17" ht="15.5">
      <c r="B7" s="462" t="s">
        <v>154</v>
      </c>
      <c r="C7" s="534" t="s">
        <v>375</v>
      </c>
      <c r="D7" s="116"/>
      <c r="E7" s="415"/>
      <c r="F7" s="400"/>
      <c r="G7" s="549">
        <f t="shared" si="4"/>
        <v>3</v>
      </c>
      <c r="H7" s="419">
        <f t="shared" ref="H7:H54" si="7">IF(G7="","",O6)</f>
        <v>25830.835092260284</v>
      </c>
      <c r="I7" s="419">
        <f t="shared" si="5"/>
        <v>187.48123103524782</v>
      </c>
      <c r="J7" s="420">
        <f t="shared" si="0"/>
        <v>2249.7747724229739</v>
      </c>
      <c r="K7" s="419">
        <f>H7+J7</f>
        <v>28080.609864683258</v>
      </c>
      <c r="L7" s="419">
        <f t="shared" si="1"/>
        <v>1404.030493234163</v>
      </c>
      <c r="M7" s="419">
        <f t="shared" si="6"/>
        <v>29484.640357917422</v>
      </c>
      <c r="N7" s="419">
        <f t="shared" si="2"/>
        <v>106.56304259051049</v>
      </c>
      <c r="O7" s="419">
        <f t="shared" si="3"/>
        <v>29378.077315326911</v>
      </c>
      <c r="Q7" s="94">
        <f>IF(G7="","",-Ergebnistabelle!AL9)</f>
        <v>187.48123103524782</v>
      </c>
    </row>
    <row r="8" spans="2:17" ht="15.5">
      <c r="B8" s="462" t="s">
        <v>361</v>
      </c>
      <c r="C8" s="530">
        <f>E8</f>
        <v>1000</v>
      </c>
      <c r="D8" s="463" t="s">
        <v>356</v>
      </c>
      <c r="E8" s="421">
        <f>IF(C7="ledig",Einstellungen!U2,IF(C7="verheiratet",Einstellungen!W2,""))</f>
        <v>1000</v>
      </c>
      <c r="F8" s="400"/>
      <c r="G8" s="549">
        <f t="shared" si="4"/>
        <v>4</v>
      </c>
      <c r="H8" s="419">
        <f t="shared" si="7"/>
        <v>29378.077315326911</v>
      </c>
      <c r="I8" s="419">
        <f t="shared" si="5"/>
        <v>177.33331081491437</v>
      </c>
      <c r="J8" s="420">
        <f t="shared" si="0"/>
        <v>2127.9997297789723</v>
      </c>
      <c r="K8" s="419">
        <f t="shared" ref="K8:K54" si="8">H8+J8</f>
        <v>31506.077045105885</v>
      </c>
      <c r="L8" s="419">
        <f t="shared" si="1"/>
        <v>1575.3038522552943</v>
      </c>
      <c r="M8" s="419">
        <f t="shared" si="6"/>
        <v>33081.380897361181</v>
      </c>
      <c r="N8" s="419">
        <f t="shared" si="2"/>
        <v>151.73639103233384</v>
      </c>
      <c r="O8" s="419">
        <f t="shared" si="3"/>
        <v>32929.644506328848</v>
      </c>
      <c r="Q8" s="94">
        <f>IF(G8="","",-Ergebnistabelle!AL10)</f>
        <v>177.33331081491437</v>
      </c>
    </row>
    <row r="9" spans="2:17" ht="15.5">
      <c r="B9" s="462" t="s">
        <v>363</v>
      </c>
      <c r="C9" s="464">
        <f>Einstellungen!S2</f>
        <v>0.26374999999999998</v>
      </c>
      <c r="D9" s="463"/>
      <c r="E9" s="415"/>
      <c r="F9" s="400"/>
      <c r="G9" s="549">
        <f t="shared" si="4"/>
        <v>5</v>
      </c>
      <c r="H9" s="419">
        <f t="shared" si="7"/>
        <v>32929.644506328848</v>
      </c>
      <c r="I9" s="419">
        <f t="shared" si="5"/>
        <v>166.96600325571686</v>
      </c>
      <c r="J9" s="420">
        <f t="shared" si="0"/>
        <v>2003.5920390686024</v>
      </c>
      <c r="K9" s="419">
        <f t="shared" si="8"/>
        <v>34933.236545397449</v>
      </c>
      <c r="L9" s="419">
        <f t="shared" si="1"/>
        <v>1746.6618272698724</v>
      </c>
      <c r="M9" s="419">
        <f t="shared" si="6"/>
        <v>36679.898372667318</v>
      </c>
      <c r="N9" s="419">
        <f t="shared" si="2"/>
        <v>196.93205694242886</v>
      </c>
      <c r="O9" s="419">
        <f t="shared" si="3"/>
        <v>36482.966315724887</v>
      </c>
      <c r="Q9" s="94">
        <f>IF(G9="","",-Ergebnistabelle!AL11)</f>
        <v>166.96600325571686</v>
      </c>
    </row>
    <row r="10" spans="2:17" ht="15.5">
      <c r="B10" s="462" t="s">
        <v>354</v>
      </c>
      <c r="C10" s="530">
        <f>'Eingabe Immodaten'!C22</f>
        <v>18759</v>
      </c>
      <c r="D10" s="463" t="s">
        <v>356</v>
      </c>
      <c r="E10" s="415"/>
      <c r="F10" s="412"/>
      <c r="G10" s="549">
        <f t="shared" si="4"/>
        <v>6</v>
      </c>
      <c r="H10" s="419">
        <f t="shared" si="7"/>
        <v>36482.966315724887</v>
      </c>
      <c r="I10" s="419">
        <f t="shared" si="5"/>
        <v>156.37683980848033</v>
      </c>
      <c r="J10" s="420">
        <f t="shared" si="0"/>
        <v>1876.5220777017639</v>
      </c>
      <c r="K10" s="419">
        <f t="shared" si="8"/>
        <v>38359.488393426655</v>
      </c>
      <c r="L10" s="419">
        <f t="shared" si="1"/>
        <v>1917.9744196713327</v>
      </c>
      <c r="M10" s="419">
        <f t="shared" si="6"/>
        <v>40277.462813097984</v>
      </c>
      <c r="N10" s="419">
        <f t="shared" si="2"/>
        <v>242.11575318831399</v>
      </c>
      <c r="O10" s="419">
        <f t="shared" si="3"/>
        <v>40035.347059909669</v>
      </c>
      <c r="Q10" s="94">
        <f>IF(G10="","",-Ergebnistabelle!AL12)</f>
        <v>156.37683980848033</v>
      </c>
    </row>
    <row r="11" spans="2:17" ht="15.5">
      <c r="B11" s="462" t="s">
        <v>377</v>
      </c>
      <c r="C11" s="529" t="s">
        <v>382</v>
      </c>
      <c r="D11" s="463" t="s">
        <v>356</v>
      </c>
      <c r="E11" s="415"/>
      <c r="F11" s="412"/>
      <c r="G11" s="549">
        <f t="shared" si="4"/>
        <v>7</v>
      </c>
      <c r="H11" s="419">
        <f t="shared" si="7"/>
        <v>40035.347059909669</v>
      </c>
      <c r="I11" s="419">
        <f t="shared" si="5"/>
        <v>145.56345928870164</v>
      </c>
      <c r="J11" s="420">
        <f t="shared" si="0"/>
        <v>1746.7615114644195</v>
      </c>
      <c r="K11" s="419">
        <f t="shared" si="8"/>
        <v>41782.10857137409</v>
      </c>
      <c r="L11" s="419">
        <f t="shared" si="1"/>
        <v>2089.1054285687046</v>
      </c>
      <c r="M11" s="419">
        <f t="shared" si="6"/>
        <v>43871.213999942796</v>
      </c>
      <c r="N11" s="419">
        <f t="shared" si="2"/>
        <v>287.25155678499584</v>
      </c>
      <c r="O11" s="419">
        <f t="shared" si="3"/>
        <v>43583.962443157798</v>
      </c>
      <c r="Q11" s="94">
        <f>IF(G11="","",-Ergebnistabelle!AL13)</f>
        <v>145.56345928870164</v>
      </c>
    </row>
    <row r="12" spans="2:17" ht="15.5">
      <c r="B12" s="462" t="s">
        <v>357</v>
      </c>
      <c r="C12" s="531">
        <v>12</v>
      </c>
      <c r="D12" s="463"/>
      <c r="E12" s="415"/>
      <c r="F12" s="400"/>
      <c r="G12" s="549">
        <f t="shared" si="4"/>
        <v>8</v>
      </c>
      <c r="H12" s="419">
        <f t="shared" si="7"/>
        <v>43583.962443157798</v>
      </c>
      <c r="I12" s="419">
        <f t="shared" si="5"/>
        <v>134.52361894419059</v>
      </c>
      <c r="J12" s="420">
        <f t="shared" si="0"/>
        <v>1614.2834273302869</v>
      </c>
      <c r="K12" s="419">
        <f t="shared" si="8"/>
        <v>45198.245870488085</v>
      </c>
      <c r="L12" s="419">
        <f t="shared" si="1"/>
        <v>2259.9122935244045</v>
      </c>
      <c r="M12" s="419">
        <f t="shared" si="6"/>
        <v>47458.158164012486</v>
      </c>
      <c r="N12" s="419">
        <f t="shared" si="2"/>
        <v>332.30186741706166</v>
      </c>
      <c r="O12" s="419">
        <f t="shared" si="3"/>
        <v>47125.856296595426</v>
      </c>
      <c r="Q12" s="94">
        <f>IF(G12="","",-Ergebnistabelle!AL14)</f>
        <v>134.52361894419059</v>
      </c>
    </row>
    <row r="13" spans="2:17" ht="15.5">
      <c r="B13" s="422" t="s">
        <v>355</v>
      </c>
      <c r="C13" s="416"/>
      <c r="D13" s="416"/>
      <c r="E13" s="417"/>
      <c r="F13" s="400"/>
      <c r="G13" s="549">
        <f t="shared" si="4"/>
        <v>9</v>
      </c>
      <c r="H13" s="419">
        <f t="shared" si="7"/>
        <v>47125.856296595426</v>
      </c>
      <c r="I13" s="419">
        <f t="shared" si="5"/>
        <v>123.25520619260321</v>
      </c>
      <c r="J13" s="420">
        <f t="shared" si="0"/>
        <v>1479.0624743112385</v>
      </c>
      <c r="K13" s="419">
        <f t="shared" si="8"/>
        <v>48604.918770906661</v>
      </c>
      <c r="L13" s="419">
        <f t="shared" si="1"/>
        <v>2430.245938545333</v>
      </c>
      <c r="M13" s="419">
        <f t="shared" si="6"/>
        <v>51035.164709451994</v>
      </c>
      <c r="N13" s="419">
        <f t="shared" si="2"/>
        <v>377.22736629133158</v>
      </c>
      <c r="O13" s="419">
        <f t="shared" si="3"/>
        <v>50657.937343160665</v>
      </c>
      <c r="Q13" s="94">
        <f>IF(G13="","",-Ergebnistabelle!AL15)</f>
        <v>123.25520619260321</v>
      </c>
    </row>
    <row r="14" spans="2:17" ht="15.5">
      <c r="B14" s="462" t="s">
        <v>360</v>
      </c>
      <c r="C14" s="541">
        <f>Tabelle10[[#Totals],[Einzahlungen]]</f>
        <v>44502.819974016122</v>
      </c>
      <c r="D14" s="539" t="s">
        <v>356</v>
      </c>
      <c r="E14" s="415"/>
      <c r="F14" s="400"/>
      <c r="G14" s="549">
        <f t="shared" si="4"/>
        <v>10</v>
      </c>
      <c r="H14" s="419">
        <f t="shared" si="7"/>
        <v>50657.937343160665</v>
      </c>
      <c r="I14" s="419">
        <f t="shared" si="5"/>
        <v>111.75625106349814</v>
      </c>
      <c r="J14" s="420">
        <f t="shared" si="0"/>
        <v>1341.0750127619776</v>
      </c>
      <c r="K14" s="419">
        <f t="shared" si="8"/>
        <v>51999.012355922641</v>
      </c>
      <c r="L14" s="419">
        <f t="shared" si="1"/>
        <v>2599.9506177961321</v>
      </c>
      <c r="M14" s="419">
        <f t="shared" si="6"/>
        <v>54598.962973718772</v>
      </c>
      <c r="N14" s="419">
        <f t="shared" si="2"/>
        <v>421.98697544372982</v>
      </c>
      <c r="O14" s="419">
        <f t="shared" si="3"/>
        <v>54176.97599827504</v>
      </c>
      <c r="Q14" s="94">
        <f>IF(G14="","",-Ergebnistabelle!AL16)</f>
        <v>111.75625106349814</v>
      </c>
    </row>
    <row r="15" spans="2:17" ht="15.5">
      <c r="B15" s="462" t="s">
        <v>52</v>
      </c>
      <c r="C15" s="541">
        <f>Tabelle10[[#Totals],[Zinsen]]</f>
        <v>299661.21418635256</v>
      </c>
      <c r="D15" s="539" t="s">
        <v>356</v>
      </c>
      <c r="E15" s="415"/>
      <c r="F15" s="400"/>
      <c r="G15" s="549">
        <f t="shared" si="4"/>
        <v>11</v>
      </c>
      <c r="H15" s="419">
        <f t="shared" si="7"/>
        <v>54176.97599827504</v>
      </c>
      <c r="I15" s="419">
        <f t="shared" si="5"/>
        <v>108.84125043337917</v>
      </c>
      <c r="J15" s="420">
        <f t="shared" si="0"/>
        <v>1306.0950052005501</v>
      </c>
      <c r="K15" s="419">
        <f t="shared" si="8"/>
        <v>55483.07100347559</v>
      </c>
      <c r="L15" s="419">
        <f t="shared" si="1"/>
        <v>2774.1535501737799</v>
      </c>
      <c r="M15" s="419">
        <f t="shared" si="6"/>
        <v>58257.224553649372</v>
      </c>
      <c r="N15" s="419">
        <f t="shared" si="2"/>
        <v>467.93299885833443</v>
      </c>
      <c r="O15" s="419">
        <f t="shared" si="3"/>
        <v>57789.291554791038</v>
      </c>
      <c r="Q15" s="94">
        <f>IF(G15="","",-Ergebnistabelle!AL17)</f>
        <v>108.84125043337917</v>
      </c>
    </row>
    <row r="16" spans="2:17" ht="15.5">
      <c r="B16" s="462" t="s">
        <v>368</v>
      </c>
      <c r="C16" s="541">
        <f>C14+C15</f>
        <v>344164.03416036867</v>
      </c>
      <c r="D16" s="539" t="s">
        <v>356</v>
      </c>
      <c r="E16" s="415"/>
      <c r="F16" s="400"/>
      <c r="G16" s="549">
        <f t="shared" si="4"/>
        <v>12</v>
      </c>
      <c r="H16" s="419">
        <f t="shared" si="7"/>
        <v>57789.291554791038</v>
      </c>
      <c r="I16" s="419">
        <f t="shared" si="5"/>
        <v>97.076330657254104</v>
      </c>
      <c r="J16" s="420">
        <f t="shared" si="0"/>
        <v>1164.9159678870492</v>
      </c>
      <c r="K16" s="419">
        <f t="shared" si="8"/>
        <v>58954.207522678087</v>
      </c>
      <c r="L16" s="419">
        <f t="shared" si="1"/>
        <v>2947.7103761339044</v>
      </c>
      <c r="M16" s="419">
        <f t="shared" si="6"/>
        <v>61901.917898811989</v>
      </c>
      <c r="N16" s="419">
        <f t="shared" si="2"/>
        <v>513.70861170531725</v>
      </c>
      <c r="O16" s="419">
        <f t="shared" si="3"/>
        <v>61388.209287106671</v>
      </c>
      <c r="Q16" s="94">
        <f>IF(G16="","",-Ergebnistabelle!AL18)</f>
        <v>97.076330657254104</v>
      </c>
    </row>
    <row r="17" spans="2:17" ht="15.5">
      <c r="B17" s="462" t="s">
        <v>6</v>
      </c>
      <c r="C17" s="541">
        <f>Tabelle10[[#Totals],[Steuern]]</f>
        <v>65848.145241650476</v>
      </c>
      <c r="D17" s="539" t="s">
        <v>356</v>
      </c>
      <c r="E17" s="415"/>
      <c r="F17" s="400"/>
      <c r="G17" s="549">
        <f t="shared" si="4"/>
        <v>13</v>
      </c>
      <c r="H17" s="419">
        <f t="shared" si="7"/>
        <v>61388.209287106671</v>
      </c>
      <c r="I17" s="419">
        <f t="shared" si="5"/>
        <v>85.091077555983404</v>
      </c>
      <c r="J17" s="420">
        <f t="shared" si="0"/>
        <v>1021.0929306718008</v>
      </c>
      <c r="K17" s="419">
        <f t="shared" si="8"/>
        <v>62409.302217778473</v>
      </c>
      <c r="L17" s="419">
        <f t="shared" si="1"/>
        <v>3120.4651108889238</v>
      </c>
      <c r="M17" s="419">
        <f t="shared" si="6"/>
        <v>65529.767328667396</v>
      </c>
      <c r="N17" s="419">
        <f t="shared" si="2"/>
        <v>559.27267299695359</v>
      </c>
      <c r="O17" s="419">
        <f t="shared" si="3"/>
        <v>64970.494655670445</v>
      </c>
      <c r="Q17" s="94">
        <f>IF(G17="","",-Ergebnistabelle!AL19)</f>
        <v>85.091077555983404</v>
      </c>
    </row>
    <row r="18" spans="2:17" ht="16" thickBot="1">
      <c r="B18" s="465" t="s">
        <v>367</v>
      </c>
      <c r="C18" s="542">
        <f>C16-C17</f>
        <v>278315.88891871821</v>
      </c>
      <c r="D18" s="540" t="s">
        <v>356</v>
      </c>
      <c r="E18" s="418"/>
      <c r="F18" s="400"/>
      <c r="G18" s="549">
        <f t="shared" si="4"/>
        <v>14</v>
      </c>
      <c r="H18" s="419">
        <f t="shared" si="7"/>
        <v>64970.494655670445</v>
      </c>
      <c r="I18" s="419">
        <f t="shared" si="5"/>
        <v>72.885165772623012</v>
      </c>
      <c r="J18" s="420">
        <f t="shared" si="0"/>
        <v>874.6219892714762</v>
      </c>
      <c r="K18" s="419">
        <f t="shared" si="8"/>
        <v>65845.116644941925</v>
      </c>
      <c r="L18" s="419">
        <f t="shared" si="1"/>
        <v>3292.2558322470964</v>
      </c>
      <c r="M18" s="419">
        <f t="shared" si="6"/>
        <v>69137.372477189027</v>
      </c>
      <c r="N18" s="419">
        <f t="shared" si="2"/>
        <v>604.58247575517157</v>
      </c>
      <c r="O18" s="419">
        <f t="shared" si="3"/>
        <v>68532.790001433852</v>
      </c>
      <c r="Q18" s="94">
        <f>IF(G18="","",-Ergebnistabelle!AL20)</f>
        <v>72.885165772623012</v>
      </c>
    </row>
    <row r="19" spans="2:17" ht="14">
      <c r="F19" s="400"/>
      <c r="G19" s="549">
        <f t="shared" si="4"/>
        <v>15</v>
      </c>
      <c r="H19" s="419">
        <f t="shared" si="7"/>
        <v>68532.790001433852</v>
      </c>
      <c r="I19" s="419">
        <f t="shared" si="5"/>
        <v>60.458539226554571</v>
      </c>
      <c r="J19" s="420">
        <f t="shared" si="0"/>
        <v>725.50247071865488</v>
      </c>
      <c r="K19" s="419">
        <f t="shared" si="8"/>
        <v>69258.292472152505</v>
      </c>
      <c r="L19" s="419">
        <f t="shared" si="1"/>
        <v>3462.9146236076253</v>
      </c>
      <c r="M19" s="419">
        <f t="shared" si="6"/>
        <v>72721.207095760125</v>
      </c>
      <c r="N19" s="419">
        <f t="shared" si="2"/>
        <v>649.59373197651109</v>
      </c>
      <c r="O19" s="419">
        <f t="shared" si="3"/>
        <v>72071.613363783617</v>
      </c>
      <c r="Q19" s="94">
        <f>IF(G19="","",-Ergebnistabelle!AL21)</f>
        <v>60.458539226554571</v>
      </c>
    </row>
    <row r="20" spans="2:17" ht="14">
      <c r="F20" s="400"/>
      <c r="G20" s="549">
        <f t="shared" si="4"/>
        <v>16</v>
      </c>
      <c r="H20" s="419">
        <f t="shared" si="7"/>
        <v>72071.613363783617</v>
      </c>
      <c r="I20" s="419">
        <f t="shared" si="5"/>
        <v>47.811431408055036</v>
      </c>
      <c r="J20" s="420">
        <f t="shared" si="0"/>
        <v>573.73717689666046</v>
      </c>
      <c r="K20" s="419">
        <f t="shared" si="8"/>
        <v>72645.350540680272</v>
      </c>
      <c r="L20" s="419">
        <f t="shared" si="1"/>
        <v>3632.2675270340137</v>
      </c>
      <c r="M20" s="419">
        <f t="shared" si="6"/>
        <v>76277.618067714284</v>
      </c>
      <c r="N20" s="419">
        <f t="shared" si="2"/>
        <v>694.26056025522109</v>
      </c>
      <c r="O20" s="419">
        <f t="shared" si="3"/>
        <v>75583.357507459063</v>
      </c>
      <c r="Q20" s="94">
        <f>IF(G20="","",-Ergebnistabelle!AL22)</f>
        <v>47.811431408055036</v>
      </c>
    </row>
    <row r="21" spans="2:17" ht="14">
      <c r="F21" s="400"/>
      <c r="G21" s="549">
        <f t="shared" si="4"/>
        <v>17</v>
      </c>
      <c r="H21" s="419">
        <f t="shared" si="7"/>
        <v>75583.357507459063</v>
      </c>
      <c r="I21" s="419">
        <f t="shared" si="5"/>
        <v>34.944386814837948</v>
      </c>
      <c r="J21" s="420">
        <f t="shared" si="0"/>
        <v>419.3326417780554</v>
      </c>
      <c r="K21" s="419">
        <f t="shared" si="8"/>
        <v>76002.690149237111</v>
      </c>
      <c r="L21" s="419">
        <f t="shared" si="1"/>
        <v>3800.1345074618557</v>
      </c>
      <c r="M21" s="419">
        <f t="shared" si="6"/>
        <v>79802.824656698969</v>
      </c>
      <c r="N21" s="419">
        <f t="shared" si="2"/>
        <v>738.53547634306437</v>
      </c>
      <c r="O21" s="419">
        <f t="shared" si="3"/>
        <v>79064.289180355903</v>
      </c>
      <c r="Q21" s="94">
        <f>IF(G21="","",-Ergebnistabelle!AL23)</f>
        <v>34.944386814837948</v>
      </c>
    </row>
    <row r="22" spans="2:17" ht="14">
      <c r="F22" s="400"/>
      <c r="G22" s="549">
        <f t="shared" si="4"/>
        <v>18</v>
      </c>
      <c r="H22" s="419">
        <f t="shared" si="7"/>
        <v>79064.289180355903</v>
      </c>
      <c r="I22" s="419">
        <f t="shared" si="5"/>
        <v>21.858283588070964</v>
      </c>
      <c r="J22" s="420">
        <f t="shared" si="0"/>
        <v>262.29940305685159</v>
      </c>
      <c r="K22" s="419">
        <f t="shared" si="8"/>
        <v>79326.588583412755</v>
      </c>
      <c r="L22" s="419">
        <f t="shared" si="1"/>
        <v>3966.3294291706379</v>
      </c>
      <c r="M22" s="419">
        <f t="shared" si="6"/>
        <v>83292.918012583395</v>
      </c>
      <c r="N22" s="419">
        <f t="shared" si="2"/>
        <v>782.36938694375567</v>
      </c>
      <c r="O22" s="419">
        <f t="shared" si="3"/>
        <v>82510.54862563964</v>
      </c>
      <c r="Q22" s="94">
        <f>IF(G22="","",-Ergebnistabelle!AL24)</f>
        <v>21.858283588070964</v>
      </c>
    </row>
    <row r="23" spans="2:17" ht="14">
      <c r="F23" s="400"/>
      <c r="G23" s="549">
        <f t="shared" si="4"/>
        <v>19</v>
      </c>
      <c r="H23" s="419">
        <f t="shared" si="7"/>
        <v>82510.54862563964</v>
      </c>
      <c r="I23" s="419">
        <f t="shared" si="5"/>
        <v>8.5543574081207225</v>
      </c>
      <c r="J23" s="420">
        <f t="shared" si="0"/>
        <v>102.65228889744867</v>
      </c>
      <c r="K23" s="419">
        <f t="shared" si="8"/>
        <v>82613.200914537083</v>
      </c>
      <c r="L23" s="419">
        <f t="shared" si="1"/>
        <v>4130.6600457268542</v>
      </c>
      <c r="M23" s="419">
        <f t="shared" si="6"/>
        <v>86743.860960263934</v>
      </c>
      <c r="N23" s="419">
        <f t="shared" si="2"/>
        <v>825.71158706045776</v>
      </c>
      <c r="O23" s="419">
        <f t="shared" si="3"/>
        <v>85918.149373203472</v>
      </c>
      <c r="Q23" s="94">
        <f>IF(G23="","",-Ergebnistabelle!AL25)</f>
        <v>8.5543574081207225</v>
      </c>
    </row>
    <row r="24" spans="2:17" ht="14">
      <c r="E24" s="400"/>
      <c r="F24" s="400"/>
      <c r="G24" s="549">
        <f t="shared" si="4"/>
        <v>20</v>
      </c>
      <c r="H24" s="419">
        <f t="shared" si="7"/>
        <v>85918.149373203472</v>
      </c>
      <c r="I24" s="419" t="str">
        <f t="shared" si="5"/>
        <v>0</v>
      </c>
      <c r="J24" s="420">
        <f t="shared" si="0"/>
        <v>0</v>
      </c>
      <c r="K24" s="419">
        <f t="shared" si="8"/>
        <v>85918.149373203472</v>
      </c>
      <c r="L24" s="419">
        <f t="shared" si="1"/>
        <v>4295.9074686601734</v>
      </c>
      <c r="M24" s="419">
        <f t="shared" si="6"/>
        <v>90214.056841863639</v>
      </c>
      <c r="N24" s="419">
        <f t="shared" si="2"/>
        <v>869.29559485912068</v>
      </c>
      <c r="O24" s="419">
        <f t="shared" si="3"/>
        <v>89344.761247004513</v>
      </c>
      <c r="Q24" s="94">
        <f>IF(G24="","",-Ergebnistabelle!AL26)</f>
        <v>-4.9657732868639259</v>
      </c>
    </row>
    <row r="25" spans="2:17" ht="14">
      <c r="E25" s="400"/>
      <c r="F25" s="400"/>
      <c r="G25" s="549">
        <f t="shared" si="4"/>
        <v>21</v>
      </c>
      <c r="H25" s="419">
        <f t="shared" si="7"/>
        <v>89344.761247004513</v>
      </c>
      <c r="I25" s="419" t="str">
        <f t="shared" si="5"/>
        <v>0</v>
      </c>
      <c r="J25" s="420">
        <f t="shared" si="0"/>
        <v>0</v>
      </c>
      <c r="K25" s="419">
        <f t="shared" si="8"/>
        <v>89344.761247004513</v>
      </c>
      <c r="L25" s="419">
        <f t="shared" si="1"/>
        <v>4467.2380623502258</v>
      </c>
      <c r="M25" s="419">
        <f t="shared" si="6"/>
        <v>93811.999309354738</v>
      </c>
      <c r="N25" s="419">
        <f t="shared" si="2"/>
        <v>914.48403894487205</v>
      </c>
      <c r="O25" s="419">
        <f t="shared" si="3"/>
        <v>92897.515270409873</v>
      </c>
      <c r="Q25" s="94">
        <f>IF(G25="","",-Ergebnistabelle!AL27)</f>
        <v>-18.700080693418386</v>
      </c>
    </row>
    <row r="26" spans="2:17" ht="14">
      <c r="E26" s="400"/>
      <c r="F26" s="400"/>
      <c r="G26" s="549">
        <f t="shared" si="4"/>
        <v>22</v>
      </c>
      <c r="H26" s="419">
        <f t="shared" si="7"/>
        <v>92897.515270409873</v>
      </c>
      <c r="I26" s="419" t="str">
        <f t="shared" si="5"/>
        <v>0</v>
      </c>
      <c r="J26" s="420">
        <f t="shared" si="0"/>
        <v>0</v>
      </c>
      <c r="K26" s="419">
        <f t="shared" si="8"/>
        <v>92897.515270409873</v>
      </c>
      <c r="L26" s="419">
        <f t="shared" si="1"/>
        <v>4644.8757635204938</v>
      </c>
      <c r="M26" s="419">
        <f t="shared" si="6"/>
        <v>97542.391033930369</v>
      </c>
      <c r="N26" s="419">
        <f t="shared" si="2"/>
        <v>961.33598262853013</v>
      </c>
      <c r="O26" s="419">
        <f t="shared" si="3"/>
        <v>96581.055051301839</v>
      </c>
      <c r="Q26" s="94">
        <f>IF(G26="","",-Ergebnistabelle!AL28)</f>
        <v>-32.646099577034725</v>
      </c>
    </row>
    <row r="27" spans="2:17" ht="14">
      <c r="B27" s="400"/>
      <c r="C27" s="404"/>
      <c r="D27" s="400"/>
      <c r="E27" s="400"/>
      <c r="F27" s="400"/>
      <c r="G27" s="549">
        <f t="shared" si="4"/>
        <v>23</v>
      </c>
      <c r="H27" s="419">
        <f t="shared" si="7"/>
        <v>96581.055051301839</v>
      </c>
      <c r="I27" s="419" t="str">
        <f t="shared" si="5"/>
        <v>0</v>
      </c>
      <c r="J27" s="420">
        <f t="shared" si="0"/>
        <v>0</v>
      </c>
      <c r="K27" s="419">
        <f t="shared" si="8"/>
        <v>96581.055051301839</v>
      </c>
      <c r="L27" s="419">
        <f t="shared" si="1"/>
        <v>4829.0527525650923</v>
      </c>
      <c r="M27" s="419">
        <f t="shared" si="6"/>
        <v>101410.10780386694</v>
      </c>
      <c r="N27" s="419">
        <f t="shared" si="2"/>
        <v>1009.912663489043</v>
      </c>
      <c r="O27" s="419">
        <f t="shared" si="3"/>
        <v>100400.19514037789</v>
      </c>
      <c r="Q27" s="94">
        <f>IF(G27="","",-Ergebnistabelle!AL29)</f>
        <v>-46.800897675710836</v>
      </c>
    </row>
    <row r="28" spans="2:17" ht="14">
      <c r="B28" s="400"/>
      <c r="C28" s="402"/>
      <c r="D28" s="400"/>
      <c r="E28" s="400"/>
      <c r="F28" s="400"/>
      <c r="G28" s="549">
        <f t="shared" si="4"/>
        <v>24</v>
      </c>
      <c r="H28" s="419">
        <f t="shared" si="7"/>
        <v>100400.19514037789</v>
      </c>
      <c r="I28" s="419" t="str">
        <f t="shared" si="5"/>
        <v>0</v>
      </c>
      <c r="J28" s="420">
        <f t="shared" si="0"/>
        <v>0</v>
      </c>
      <c r="K28" s="419">
        <f t="shared" si="8"/>
        <v>100400.19514037789</v>
      </c>
      <c r="L28" s="419">
        <f t="shared" si="1"/>
        <v>5020.0097570188955</v>
      </c>
      <c r="M28" s="419">
        <f t="shared" si="6"/>
        <v>105420.20489739679</v>
      </c>
      <c r="N28" s="419">
        <f t="shared" si="2"/>
        <v>1060.2775734137335</v>
      </c>
      <c r="O28" s="419">
        <f t="shared" si="3"/>
        <v>104359.92732398305</v>
      </c>
      <c r="Q28" s="94">
        <f>IF(G28="","",-Ergebnistabelle!AL30)</f>
        <v>-61.161044496822342</v>
      </c>
    </row>
    <row r="29" spans="2:17" ht="14">
      <c r="B29" s="400"/>
      <c r="C29" s="401"/>
      <c r="D29" s="400"/>
      <c r="E29" s="400"/>
      <c r="F29" s="400"/>
      <c r="G29" s="549">
        <f t="shared" si="4"/>
        <v>25</v>
      </c>
      <c r="H29" s="419">
        <f t="shared" si="7"/>
        <v>104359.92732398305</v>
      </c>
      <c r="I29" s="419" t="str">
        <f t="shared" si="5"/>
        <v>0</v>
      </c>
      <c r="J29" s="420">
        <f t="shared" si="0"/>
        <v>0</v>
      </c>
      <c r="K29" s="419">
        <f t="shared" si="8"/>
        <v>104359.92732398305</v>
      </c>
      <c r="L29" s="419">
        <f t="shared" si="1"/>
        <v>5217.9963661991533</v>
      </c>
      <c r="M29" s="419">
        <f t="shared" si="6"/>
        <v>109577.9236901822</v>
      </c>
      <c r="N29" s="419">
        <f t="shared" si="2"/>
        <v>1112.4965415850265</v>
      </c>
      <c r="O29" s="419">
        <f t="shared" si="3"/>
        <v>108465.42714859717</v>
      </c>
      <c r="Q29" s="94">
        <f>IF(G29="","",-Ergebnistabelle!AL31)</f>
        <v>-75.722578427774508</v>
      </c>
    </row>
    <row r="30" spans="2:17" ht="14">
      <c r="B30" s="400"/>
      <c r="D30" s="400"/>
      <c r="E30" s="400"/>
      <c r="F30" s="400"/>
      <c r="G30" s="549">
        <f t="shared" si="4"/>
        <v>26</v>
      </c>
      <c r="H30" s="419">
        <f t="shared" si="7"/>
        <v>108465.42714859717</v>
      </c>
      <c r="I30" s="419" t="str">
        <f t="shared" si="5"/>
        <v>0</v>
      </c>
      <c r="J30" s="420">
        <f t="shared" si="0"/>
        <v>0</v>
      </c>
      <c r="K30" s="419">
        <f t="shared" si="8"/>
        <v>108465.42714859717</v>
      </c>
      <c r="L30" s="419">
        <f t="shared" si="1"/>
        <v>5423.2713574298587</v>
      </c>
      <c r="M30" s="419">
        <f t="shared" si="6"/>
        <v>113888.69850602702</v>
      </c>
      <c r="N30" s="419">
        <f t="shared" si="2"/>
        <v>1166.6378205221251</v>
      </c>
      <c r="O30" s="419">
        <f t="shared" si="3"/>
        <v>112722.0606855049</v>
      </c>
      <c r="Q30" s="94">
        <f>IF(G30="","",-Ergebnistabelle!AL32)</f>
        <v>-90.480972077128925</v>
      </c>
    </row>
    <row r="31" spans="2:17" ht="14">
      <c r="B31" s="400"/>
      <c r="C31" s="401"/>
      <c r="D31" s="400"/>
      <c r="E31" s="400"/>
      <c r="F31" s="400"/>
      <c r="G31" s="549">
        <f t="shared" si="4"/>
        <v>27</v>
      </c>
      <c r="H31" s="419">
        <f t="shared" si="7"/>
        <v>112722.0606855049</v>
      </c>
      <c r="I31" s="419" t="str">
        <f t="shared" si="5"/>
        <v>0</v>
      </c>
      <c r="J31" s="420">
        <f t="shared" si="0"/>
        <v>0</v>
      </c>
      <c r="K31" s="419">
        <f t="shared" si="8"/>
        <v>112722.0606855049</v>
      </c>
      <c r="L31" s="419">
        <f t="shared" si="1"/>
        <v>5636.1030342752456</v>
      </c>
      <c r="M31" s="419">
        <f t="shared" si="6"/>
        <v>118358.16371978015</v>
      </c>
      <c r="N31" s="419">
        <f t="shared" si="2"/>
        <v>1222.7721752900959</v>
      </c>
      <c r="O31" s="419">
        <f t="shared" si="3"/>
        <v>117135.39154449005</v>
      </c>
      <c r="Q31" s="94">
        <f>IF(G31="","",-Ergebnistabelle!AL33)</f>
        <v>-105.43109575899098</v>
      </c>
    </row>
    <row r="32" spans="2:17" ht="14">
      <c r="B32" s="400"/>
      <c r="C32" s="406"/>
      <c r="D32" s="400"/>
      <c r="E32" s="400"/>
      <c r="F32" s="400"/>
      <c r="G32" s="549">
        <f t="shared" si="4"/>
        <v>28</v>
      </c>
      <c r="H32" s="419">
        <f t="shared" si="7"/>
        <v>117135.39154449005</v>
      </c>
      <c r="I32" s="419" t="str">
        <f t="shared" si="5"/>
        <v>0</v>
      </c>
      <c r="J32" s="420">
        <f t="shared" si="0"/>
        <v>0</v>
      </c>
      <c r="K32" s="419">
        <f t="shared" si="8"/>
        <v>117135.39154449005</v>
      </c>
      <c r="L32" s="419">
        <f t="shared" si="1"/>
        <v>5856.7695772245024</v>
      </c>
      <c r="M32" s="419">
        <f t="shared" si="6"/>
        <v>122992.16112171455</v>
      </c>
      <c r="N32" s="419">
        <f t="shared" si="2"/>
        <v>1280.9729759929623</v>
      </c>
      <c r="O32" s="419">
        <f t="shared" si="3"/>
        <v>121711.18814572159</v>
      </c>
      <c r="Q32" s="94">
        <f>IF(G32="","",-Ergebnistabelle!AL34)</f>
        <v>-1269.3494167982469</v>
      </c>
    </row>
    <row r="33" spans="2:18" ht="14">
      <c r="B33" s="400"/>
      <c r="C33" s="401"/>
      <c r="D33" s="400"/>
      <c r="E33" s="400"/>
      <c r="F33" s="400"/>
      <c r="G33" s="549">
        <f t="shared" si="4"/>
        <v>29</v>
      </c>
      <c r="H33" s="419">
        <f t="shared" si="7"/>
        <v>121711.18814572159</v>
      </c>
      <c r="I33" s="419" t="str">
        <f t="shared" si="5"/>
        <v>0</v>
      </c>
      <c r="J33" s="420">
        <f t="shared" si="0"/>
        <v>0</v>
      </c>
      <c r="K33" s="419">
        <f t="shared" si="8"/>
        <v>121711.18814572159</v>
      </c>
      <c r="L33" s="419">
        <f t="shared" si="1"/>
        <v>6085.5594072860804</v>
      </c>
      <c r="M33" s="419">
        <f t="shared" si="6"/>
        <v>127796.74755300768</v>
      </c>
      <c r="N33" s="419">
        <f t="shared" si="2"/>
        <v>1341.3162936717035</v>
      </c>
      <c r="O33" s="419">
        <f t="shared" si="3"/>
        <v>126455.43125933598</v>
      </c>
      <c r="Q33" s="94">
        <f>IF(G33="","",-Ergebnistabelle!AL35)</f>
        <v>-1481.0632633409023</v>
      </c>
    </row>
    <row r="34" spans="2:18" ht="14">
      <c r="B34" s="400"/>
      <c r="C34" s="401"/>
      <c r="D34" s="400"/>
      <c r="E34" s="400"/>
      <c r="F34" s="400"/>
      <c r="G34" s="549">
        <f t="shared" si="4"/>
        <v>30</v>
      </c>
      <c r="H34" s="419">
        <f t="shared" si="7"/>
        <v>126455.43125933598</v>
      </c>
      <c r="I34" s="419" t="str">
        <f t="shared" si="5"/>
        <v>0</v>
      </c>
      <c r="J34" s="420">
        <f t="shared" si="0"/>
        <v>0</v>
      </c>
      <c r="K34" s="419">
        <f t="shared" si="8"/>
        <v>126455.43125933598</v>
      </c>
      <c r="L34" s="419">
        <f t="shared" si="1"/>
        <v>6322.7715629667991</v>
      </c>
      <c r="M34" s="419">
        <f t="shared" si="6"/>
        <v>132778.20282230279</v>
      </c>
      <c r="N34" s="419">
        <f t="shared" si="2"/>
        <v>1403.8809997324931</v>
      </c>
      <c r="O34" s="419">
        <f t="shared" si="3"/>
        <v>131374.32182257029</v>
      </c>
      <c r="Q34" s="94">
        <f>IF(G34="","",-Ergebnistabelle!AL36)</f>
        <v>-1519.944159271324</v>
      </c>
    </row>
    <row r="35" spans="2:18" ht="14">
      <c r="B35" s="400"/>
      <c r="C35" s="401"/>
      <c r="D35" s="400"/>
      <c r="E35" s="400"/>
      <c r="F35" s="400"/>
      <c r="G35" s="549">
        <f t="shared" si="4"/>
        <v>31</v>
      </c>
      <c r="H35" s="419">
        <f t="shared" si="7"/>
        <v>131374.32182257029</v>
      </c>
      <c r="I35" s="419" t="str">
        <f t="shared" si="5"/>
        <v>0</v>
      </c>
      <c r="J35" s="420">
        <f t="shared" si="0"/>
        <v>0</v>
      </c>
      <c r="K35" s="419">
        <f t="shared" si="8"/>
        <v>131374.32182257029</v>
      </c>
      <c r="L35" s="419">
        <f t="shared" si="1"/>
        <v>6568.7160911285146</v>
      </c>
      <c r="M35" s="419">
        <f t="shared" si="6"/>
        <v>137943.03791369879</v>
      </c>
      <c r="N35" s="419">
        <f t="shared" si="2"/>
        <v>1468.7488690351456</v>
      </c>
      <c r="O35" s="419">
        <f t="shared" si="3"/>
        <v>136474.28904466366</v>
      </c>
      <c r="Q35" s="94">
        <f>IF(G35="","",-Ergebnistabelle!AL37)</f>
        <v>-1315.3275301139065</v>
      </c>
    </row>
    <row r="36" spans="2:18" ht="14">
      <c r="B36" s="400"/>
      <c r="C36" s="401"/>
      <c r="D36" s="400"/>
      <c r="E36" s="400"/>
      <c r="F36" s="400"/>
      <c r="G36" s="549">
        <f t="shared" si="4"/>
        <v>32</v>
      </c>
      <c r="H36" s="419">
        <f t="shared" si="7"/>
        <v>136474.28904466366</v>
      </c>
      <c r="I36" s="419" t="str">
        <f t="shared" si="5"/>
        <v>0</v>
      </c>
      <c r="J36" s="420">
        <f t="shared" si="0"/>
        <v>0</v>
      </c>
      <c r="K36" s="419">
        <f t="shared" si="8"/>
        <v>136474.28904466366</v>
      </c>
      <c r="L36" s="419">
        <f t="shared" si="1"/>
        <v>6823.7144522331837</v>
      </c>
      <c r="M36" s="419">
        <f t="shared" si="6"/>
        <v>143298.00349689685</v>
      </c>
      <c r="N36" s="419">
        <f t="shared" si="2"/>
        <v>1536.004686776502</v>
      </c>
      <c r="O36" s="419">
        <f t="shared" si="3"/>
        <v>141761.99881012036</v>
      </c>
      <c r="Q36" s="94">
        <f>IF(G36="","",-Ergebnistabelle!AL38)</f>
        <v>-1356.6127774563572</v>
      </c>
    </row>
    <row r="37" spans="2:18" ht="14">
      <c r="B37" s="400"/>
      <c r="C37" s="153" t="s">
        <v>226</v>
      </c>
      <c r="D37" s="400"/>
      <c r="E37" s="400"/>
      <c r="F37" s="400"/>
      <c r="G37" s="549">
        <f t="shared" si="4"/>
        <v>33</v>
      </c>
      <c r="H37" s="419">
        <f t="shared" si="7"/>
        <v>141761.99881012036</v>
      </c>
      <c r="I37" s="419" t="str">
        <f t="shared" si="5"/>
        <v>0</v>
      </c>
      <c r="J37" s="420">
        <f t="shared" ref="J37:J54" si="9">I37*C$12</f>
        <v>0</v>
      </c>
      <c r="K37" s="419">
        <f t="shared" si="8"/>
        <v>141761.99881012036</v>
      </c>
      <c r="L37" s="419">
        <f t="shared" ref="L37:L54" si="10">IF(G37="","",K37*C$5)</f>
        <v>7088.0999405060184</v>
      </c>
      <c r="M37" s="419">
        <f t="shared" si="6"/>
        <v>148850.09875062638</v>
      </c>
      <c r="N37" s="419">
        <f t="shared" ref="N37:N54" si="11">IF(L37&lt;$C$8,0,((L37-$C$8)*$C$9))</f>
        <v>1605.7363593084622</v>
      </c>
      <c r="O37" s="419">
        <f t="shared" si="3"/>
        <v>147244.3623913179</v>
      </c>
      <c r="Q37" s="94">
        <f>IF(G37="","",-Ergebnistabelle!AL39)</f>
        <v>-1399.1548364334678</v>
      </c>
    </row>
    <row r="38" spans="2:18" ht="14">
      <c r="B38" s="400"/>
      <c r="C38" s="401"/>
      <c r="D38" s="400"/>
      <c r="E38" s="400"/>
      <c r="F38" s="400"/>
      <c r="G38" s="549">
        <f t="shared" ref="G38:G54" si="12">IF(G37&gt;=$C$6,NA(),G37+1)</f>
        <v>34</v>
      </c>
      <c r="H38" s="419">
        <f t="shared" si="7"/>
        <v>147244.3623913179</v>
      </c>
      <c r="I38" s="419" t="str">
        <f t="shared" si="5"/>
        <v>0</v>
      </c>
      <c r="J38" s="420">
        <f t="shared" si="9"/>
        <v>0</v>
      </c>
      <c r="K38" s="419">
        <f t="shared" si="8"/>
        <v>147244.3623913179</v>
      </c>
      <c r="L38" s="419">
        <f t="shared" si="10"/>
        <v>7362.2181195658959</v>
      </c>
      <c r="M38" s="419">
        <f t="shared" si="6"/>
        <v>154606.5805108838</v>
      </c>
      <c r="N38" s="419">
        <f t="shared" si="11"/>
        <v>1678.035029035505</v>
      </c>
      <c r="O38" s="419">
        <f t="shared" si="3"/>
        <v>152928.5454818483</v>
      </c>
      <c r="Q38" s="94">
        <f>IF(G38="","",-Ergebnistabelle!AL40)</f>
        <v>-1442.9915939364216</v>
      </c>
    </row>
    <row r="39" spans="2:18" ht="14">
      <c r="B39" s="400"/>
      <c r="C39" s="401"/>
      <c r="D39" s="400"/>
      <c r="E39" s="400"/>
      <c r="F39" s="400"/>
      <c r="G39" s="549">
        <f t="shared" si="12"/>
        <v>35</v>
      </c>
      <c r="H39" s="419">
        <f t="shared" si="7"/>
        <v>152928.5454818483</v>
      </c>
      <c r="I39" s="419" t="str">
        <f t="shared" si="5"/>
        <v>0</v>
      </c>
      <c r="J39" s="420">
        <f t="shared" si="9"/>
        <v>0</v>
      </c>
      <c r="K39" s="419">
        <f t="shared" si="8"/>
        <v>152928.5454818483</v>
      </c>
      <c r="L39" s="419">
        <f t="shared" si="10"/>
        <v>7646.4272740924152</v>
      </c>
      <c r="M39" s="419">
        <f t="shared" si="6"/>
        <v>160574.97275594072</v>
      </c>
      <c r="N39" s="419">
        <f t="shared" si="11"/>
        <v>1752.9951935418744</v>
      </c>
      <c r="O39" s="419">
        <f t="shared" si="3"/>
        <v>158821.97756239885</v>
      </c>
      <c r="Q39" s="94">
        <f>IF(G39="","",-Ergebnistabelle!AL41)</f>
        <v>-1488.1620752885592</v>
      </c>
    </row>
    <row r="40" spans="2:18" ht="14">
      <c r="B40" s="408">
        <f>-C14</f>
        <v>-44502.819974016122</v>
      </c>
      <c r="C40" s="401"/>
      <c r="D40" s="400"/>
      <c r="E40" s="400"/>
      <c r="F40" s="400"/>
      <c r="G40" s="549">
        <f t="shared" si="12"/>
        <v>36</v>
      </c>
      <c r="H40" s="419">
        <f t="shared" si="7"/>
        <v>158821.97756239885</v>
      </c>
      <c r="I40" s="419" t="str">
        <f t="shared" si="5"/>
        <v>0</v>
      </c>
      <c r="J40" s="420">
        <f t="shared" si="9"/>
        <v>0</v>
      </c>
      <c r="K40" s="419">
        <f t="shared" si="8"/>
        <v>158821.97756239885</v>
      </c>
      <c r="L40" s="419">
        <f t="shared" si="10"/>
        <v>7941.098878119943</v>
      </c>
      <c r="M40" s="419">
        <f t="shared" si="6"/>
        <v>166763.07644051881</v>
      </c>
      <c r="N40" s="419">
        <f t="shared" si="11"/>
        <v>1830.7148291041349</v>
      </c>
      <c r="O40" s="419">
        <f t="shared" si="3"/>
        <v>164932.36161141467</v>
      </c>
      <c r="Q40" s="94">
        <f>IF(G40="","",-Ergebnistabelle!AL42)</f>
        <v>-1534.7064784165977</v>
      </c>
    </row>
    <row r="41" spans="2:18" ht="14">
      <c r="B41" s="400"/>
      <c r="C41" s="401"/>
      <c r="D41" s="400"/>
      <c r="E41" s="400"/>
      <c r="F41" s="400"/>
      <c r="G41" s="549">
        <f t="shared" si="12"/>
        <v>37</v>
      </c>
      <c r="H41" s="419">
        <f t="shared" si="7"/>
        <v>164932.36161141467</v>
      </c>
      <c r="I41" s="419" t="str">
        <f t="shared" si="5"/>
        <v>0</v>
      </c>
      <c r="J41" s="420">
        <f t="shared" si="9"/>
        <v>0</v>
      </c>
      <c r="K41" s="419">
        <f t="shared" si="8"/>
        <v>164932.36161141467</v>
      </c>
      <c r="L41" s="419">
        <f t="shared" si="10"/>
        <v>8246.6180805707336</v>
      </c>
      <c r="M41" s="419">
        <f t="shared" si="6"/>
        <v>173178.97969198541</v>
      </c>
      <c r="N41" s="419">
        <f t="shared" si="11"/>
        <v>1911.2955187505308</v>
      </c>
      <c r="O41" s="419">
        <f t="shared" si="3"/>
        <v>171267.68417323488</v>
      </c>
      <c r="Q41" s="94">
        <f>IF(G41="","",-Ergebnistabelle!AL43)</f>
        <v>-1582.6662090471671</v>
      </c>
    </row>
    <row r="42" spans="2:18" ht="14">
      <c r="B42" s="400"/>
      <c r="C42" s="401"/>
      <c r="D42" s="400"/>
      <c r="E42" s="400"/>
      <c r="F42" s="400"/>
      <c r="G42" s="549">
        <f t="shared" si="12"/>
        <v>38</v>
      </c>
      <c r="H42" s="419">
        <f t="shared" si="7"/>
        <v>171267.68417323488</v>
      </c>
      <c r="I42" s="419" t="str">
        <f t="shared" si="5"/>
        <v>0</v>
      </c>
      <c r="J42" s="420">
        <f t="shared" si="9"/>
        <v>0</v>
      </c>
      <c r="K42" s="419">
        <f t="shared" si="8"/>
        <v>171267.68417323488</v>
      </c>
      <c r="L42" s="419">
        <f t="shared" si="10"/>
        <v>8563.3842086617442</v>
      </c>
      <c r="M42" s="419">
        <f t="shared" si="6"/>
        <v>179831.06838189662</v>
      </c>
      <c r="N42" s="419">
        <f t="shared" si="11"/>
        <v>1994.842585034535</v>
      </c>
      <c r="O42" s="419">
        <f t="shared" si="3"/>
        <v>177836.2257968621</v>
      </c>
      <c r="Q42" s="94">
        <f>IF(G42="","",-Ergebnistabelle!AL44)</f>
        <v>-1632.0839169594299</v>
      </c>
    </row>
    <row r="43" spans="2:18" ht="14">
      <c r="B43" s="400"/>
      <c r="C43" s="401"/>
      <c r="D43" s="400"/>
      <c r="E43" s="400"/>
      <c r="F43" s="400"/>
      <c r="G43" s="549">
        <f t="shared" si="12"/>
        <v>39</v>
      </c>
      <c r="H43" s="419">
        <f t="shared" si="7"/>
        <v>177836.2257968621</v>
      </c>
      <c r="I43" s="419" t="str">
        <f t="shared" si="5"/>
        <v>0</v>
      </c>
      <c r="J43" s="420">
        <f t="shared" si="9"/>
        <v>0</v>
      </c>
      <c r="K43" s="419">
        <f t="shared" si="8"/>
        <v>177836.2257968621</v>
      </c>
      <c r="L43" s="419">
        <f t="shared" si="10"/>
        <v>8891.8112898431045</v>
      </c>
      <c r="M43" s="419">
        <f t="shared" si="6"/>
        <v>186728.03708670521</v>
      </c>
      <c r="N43" s="419">
        <f t="shared" si="11"/>
        <v>2081.4652276961187</v>
      </c>
      <c r="O43" s="419">
        <f t="shared" si="3"/>
        <v>184646.5718590091</v>
      </c>
      <c r="Q43" s="94">
        <f>IF(G43="","",-Ergebnistabelle!AL45)</f>
        <v>-1683.0035333254655</v>
      </c>
    </row>
    <row r="44" spans="2:18" ht="14">
      <c r="B44" s="400"/>
      <c r="C44" s="401"/>
      <c r="D44" s="400"/>
      <c r="E44" s="400"/>
      <c r="F44" s="400"/>
      <c r="G44" s="549">
        <f t="shared" si="12"/>
        <v>40</v>
      </c>
      <c r="H44" s="419">
        <f t="shared" si="7"/>
        <v>184646.5718590091</v>
      </c>
      <c r="I44" s="419" t="str">
        <f t="shared" si="5"/>
        <v>0</v>
      </c>
      <c r="J44" s="420">
        <f t="shared" si="9"/>
        <v>0</v>
      </c>
      <c r="K44" s="419">
        <f t="shared" si="8"/>
        <v>184646.5718590091</v>
      </c>
      <c r="L44" s="419">
        <f t="shared" si="10"/>
        <v>9232.3285929504545</v>
      </c>
      <c r="M44" s="419">
        <f t="shared" si="6"/>
        <v>193878.90045195955</v>
      </c>
      <c r="N44" s="419">
        <f t="shared" si="11"/>
        <v>2171.2766663906823</v>
      </c>
      <c r="O44" s="419">
        <f t="shared" si="3"/>
        <v>191707.62378556887</v>
      </c>
      <c r="Q44" s="94">
        <f>IF(G44="","",-Ergebnistabelle!AL46)</f>
        <v>-1735.4703091710501</v>
      </c>
    </row>
    <row r="45" spans="2:18" ht="14">
      <c r="B45" s="400"/>
      <c r="C45" s="401"/>
      <c r="D45" s="400"/>
      <c r="E45" s="400"/>
      <c r="F45" s="400"/>
      <c r="G45" s="549">
        <f t="shared" si="12"/>
        <v>41</v>
      </c>
      <c r="H45" s="419">
        <f t="shared" si="7"/>
        <v>191707.62378556887</v>
      </c>
      <c r="I45" s="419" t="str">
        <f t="shared" si="5"/>
        <v>0</v>
      </c>
      <c r="J45" s="420">
        <f t="shared" si="9"/>
        <v>0</v>
      </c>
      <c r="K45" s="419">
        <f t="shared" si="8"/>
        <v>191707.62378556887</v>
      </c>
      <c r="L45" s="419">
        <f t="shared" si="10"/>
        <v>9585.3811892784433</v>
      </c>
      <c r="M45" s="419">
        <f t="shared" si="6"/>
        <v>201293.00497484731</v>
      </c>
      <c r="N45" s="419">
        <f t="shared" si="11"/>
        <v>2264.3942886721893</v>
      </c>
      <c r="O45" s="419">
        <f t="shared" si="3"/>
        <v>199028.61068617512</v>
      </c>
      <c r="Q45" s="94">
        <f>IF(G45="","",-Ergebnistabelle!AL47)</f>
        <v>-1789.5308549904566</v>
      </c>
      <c r="R45" s="338"/>
    </row>
    <row r="46" spans="2:18" ht="14">
      <c r="B46" s="400"/>
      <c r="C46" s="401"/>
      <c r="D46" s="400"/>
      <c r="E46" s="400"/>
      <c r="F46" s="400"/>
      <c r="G46" s="549">
        <f t="shared" si="12"/>
        <v>42</v>
      </c>
      <c r="H46" s="419">
        <f t="shared" si="7"/>
        <v>199028.61068617512</v>
      </c>
      <c r="I46" s="419" t="str">
        <f t="shared" si="5"/>
        <v>0</v>
      </c>
      <c r="J46" s="420">
        <f t="shared" si="9"/>
        <v>0</v>
      </c>
      <c r="K46" s="419">
        <f t="shared" si="8"/>
        <v>199028.61068617512</v>
      </c>
      <c r="L46" s="419">
        <f t="shared" si="10"/>
        <v>9951.4305343087563</v>
      </c>
      <c r="M46" s="419">
        <f t="shared" si="6"/>
        <v>208980.04122048386</v>
      </c>
      <c r="N46" s="419">
        <f t="shared" si="11"/>
        <v>2360.9398034239343</v>
      </c>
      <c r="O46" s="419">
        <f t="shared" si="3"/>
        <v>206619.10141705992</v>
      </c>
      <c r="Q46" s="94">
        <f>IF(G46="","",-Ergebnistabelle!AL48)</f>
        <v>-1845.2331815498831</v>
      </c>
    </row>
    <row r="47" spans="2:18" ht="14">
      <c r="B47" s="400"/>
      <c r="C47" s="401"/>
      <c r="D47" s="400"/>
      <c r="E47" s="400"/>
      <c r="F47" s="400"/>
      <c r="G47" s="549">
        <f t="shared" si="12"/>
        <v>43</v>
      </c>
      <c r="H47" s="419">
        <f t="shared" si="7"/>
        <v>206619.10141705992</v>
      </c>
      <c r="I47" s="419" t="str">
        <f t="shared" si="5"/>
        <v>0</v>
      </c>
      <c r="J47" s="420">
        <f t="shared" si="9"/>
        <v>0</v>
      </c>
      <c r="K47" s="419">
        <f t="shared" si="8"/>
        <v>206619.10141705992</v>
      </c>
      <c r="L47" s="419">
        <f t="shared" si="10"/>
        <v>10330.955070852997</v>
      </c>
      <c r="M47" s="419">
        <f t="shared" si="6"/>
        <v>216950.05648791292</v>
      </c>
      <c r="N47" s="419">
        <f t="shared" si="11"/>
        <v>2461.0393999374778</v>
      </c>
      <c r="O47" s="419">
        <f t="shared" si="3"/>
        <v>214489.01708797546</v>
      </c>
      <c r="Q47" s="94">
        <f>IF(G47="","",-Ergebnistabelle!AL49)</f>
        <v>-1902.6267419151861</v>
      </c>
    </row>
    <row r="48" spans="2:18" ht="14">
      <c r="B48" s="400"/>
      <c r="C48" s="401"/>
      <c r="D48" s="400"/>
      <c r="E48" s="400"/>
      <c r="F48" s="400"/>
      <c r="G48" s="549">
        <f t="shared" si="12"/>
        <v>44</v>
      </c>
      <c r="H48" s="419">
        <f t="shared" si="7"/>
        <v>214489.01708797546</v>
      </c>
      <c r="I48" s="419" t="str">
        <f t="shared" si="5"/>
        <v>0</v>
      </c>
      <c r="J48" s="420">
        <f t="shared" si="9"/>
        <v>0</v>
      </c>
      <c r="K48" s="419">
        <f t="shared" si="8"/>
        <v>214489.01708797546</v>
      </c>
      <c r="L48" s="419">
        <f t="shared" si="10"/>
        <v>10724.450854398774</v>
      </c>
      <c r="M48" s="419">
        <f t="shared" si="6"/>
        <v>225213.46794237423</v>
      </c>
      <c r="N48" s="419">
        <f t="shared" si="11"/>
        <v>2564.8239128476766</v>
      </c>
      <c r="O48" s="419">
        <f t="shared" si="3"/>
        <v>222648.64402952656</v>
      </c>
      <c r="Q48" s="94">
        <f>IF(G48="","",-Ergebnistabelle!AL50)</f>
        <v>-1961.7624747406323</v>
      </c>
    </row>
    <row r="49" spans="2:19" ht="14">
      <c r="B49" s="400"/>
      <c r="C49" s="401"/>
      <c r="D49" s="400"/>
      <c r="E49" s="400"/>
      <c r="F49" s="400"/>
      <c r="G49" s="549">
        <f t="shared" si="12"/>
        <v>45</v>
      </c>
      <c r="H49" s="419">
        <f t="shared" si="7"/>
        <v>222648.64402952656</v>
      </c>
      <c r="I49" s="419" t="str">
        <f t="shared" si="5"/>
        <v>0</v>
      </c>
      <c r="J49" s="420">
        <f t="shared" si="9"/>
        <v>0</v>
      </c>
      <c r="K49" s="419">
        <f t="shared" si="8"/>
        <v>222648.64402952656</v>
      </c>
      <c r="L49" s="419">
        <f t="shared" si="10"/>
        <v>11132.432201476329</v>
      </c>
      <c r="M49" s="419">
        <f t="shared" si="6"/>
        <v>233781.07623100289</v>
      </c>
      <c r="N49" s="419">
        <f t="shared" si="11"/>
        <v>2672.4289931393819</v>
      </c>
      <c r="O49" s="419">
        <f t="shared" si="3"/>
        <v>231108.64723786351</v>
      </c>
      <c r="Q49" s="94">
        <f>IF(G49="","",-Ergebnistabelle!AL51)</f>
        <v>-2022.692848856517</v>
      </c>
    </row>
    <row r="50" spans="2:19" ht="14">
      <c r="B50" s="400"/>
      <c r="C50" s="401"/>
      <c r="D50" s="400"/>
      <c r="E50" s="400"/>
      <c r="F50" s="400"/>
      <c r="G50" s="549">
        <f t="shared" si="12"/>
        <v>46</v>
      </c>
      <c r="H50" s="419">
        <f t="shared" si="7"/>
        <v>231108.64723786351</v>
      </c>
      <c r="I50" s="419" t="str">
        <f t="shared" si="5"/>
        <v>0</v>
      </c>
      <c r="J50" s="420">
        <f t="shared" si="9"/>
        <v>0</v>
      </c>
      <c r="K50" s="419">
        <f t="shared" si="8"/>
        <v>231108.64723786351</v>
      </c>
      <c r="L50" s="419">
        <f t="shared" si="10"/>
        <v>11555.432361893176</v>
      </c>
      <c r="M50" s="419">
        <f t="shared" si="6"/>
        <v>242664.07959975669</v>
      </c>
      <c r="N50" s="419">
        <f t="shared" si="11"/>
        <v>2783.9952854493249</v>
      </c>
      <c r="O50" s="419">
        <f t="shared" si="3"/>
        <v>239880.08431430737</v>
      </c>
      <c r="Q50" s="94">
        <f>IF(G50="","",-Ergebnistabelle!AL52)</f>
        <v>-2085.4719091946104</v>
      </c>
    </row>
    <row r="51" spans="2:19" ht="14">
      <c r="B51" s="400"/>
      <c r="C51" s="401"/>
      <c r="D51" s="400"/>
      <c r="E51" s="400"/>
      <c r="F51" s="400"/>
      <c r="G51" s="549">
        <f t="shared" si="12"/>
        <v>47</v>
      </c>
      <c r="H51" s="419">
        <f t="shared" si="7"/>
        <v>239880.08431430737</v>
      </c>
      <c r="I51" s="419" t="str">
        <f t="shared" si="5"/>
        <v>0</v>
      </c>
      <c r="J51" s="420">
        <f t="shared" si="9"/>
        <v>0</v>
      </c>
      <c r="K51" s="419">
        <f t="shared" si="8"/>
        <v>239880.08431430737</v>
      </c>
      <c r="L51" s="419">
        <f t="shared" si="10"/>
        <v>11994.004215715369</v>
      </c>
      <c r="M51" s="419">
        <f t="shared" si="6"/>
        <v>251874.08853002274</v>
      </c>
      <c r="N51" s="419">
        <f t="shared" si="11"/>
        <v>2899.6686118949283</v>
      </c>
      <c r="O51" s="419">
        <f t="shared" si="3"/>
        <v>248974.41991812782</v>
      </c>
      <c r="Q51" s="94">
        <f>IF(G51="","",-Ergebnistabelle!AL53)</f>
        <v>-2150.1553240915669</v>
      </c>
    </row>
    <row r="52" spans="2:19" ht="14">
      <c r="B52" s="400"/>
      <c r="C52" s="401"/>
      <c r="D52" s="400"/>
      <c r="E52" s="400"/>
      <c r="F52" s="400"/>
      <c r="G52" s="549">
        <f t="shared" si="12"/>
        <v>48</v>
      </c>
      <c r="H52" s="419">
        <f t="shared" si="7"/>
        <v>248974.41991812782</v>
      </c>
      <c r="I52" s="419" t="str">
        <f t="shared" si="5"/>
        <v>0</v>
      </c>
      <c r="J52" s="420">
        <f t="shared" si="9"/>
        <v>0</v>
      </c>
      <c r="K52" s="419">
        <f t="shared" si="8"/>
        <v>248974.41991812782</v>
      </c>
      <c r="L52" s="419">
        <f t="shared" si="10"/>
        <v>12448.720995906391</v>
      </c>
      <c r="M52" s="419">
        <f t="shared" si="6"/>
        <v>261423.14091403421</v>
      </c>
      <c r="N52" s="419">
        <f t="shared" si="11"/>
        <v>3019.6001626703105</v>
      </c>
      <c r="O52" s="419">
        <f t="shared" si="3"/>
        <v>258403.54075136391</v>
      </c>
      <c r="Q52" s="94">
        <f>IF(G52="","",-Ergebnistabelle!AL54)</f>
        <v>-2216.800434011639</v>
      </c>
    </row>
    <row r="53" spans="2:19" ht="14">
      <c r="E53" s="400"/>
      <c r="F53" s="400"/>
      <c r="G53" s="549">
        <f t="shared" si="12"/>
        <v>49</v>
      </c>
      <c r="H53" s="419">
        <f t="shared" si="7"/>
        <v>258403.54075136391</v>
      </c>
      <c r="I53" s="419" t="str">
        <f t="shared" si="5"/>
        <v>0</v>
      </c>
      <c r="J53" s="420">
        <f t="shared" si="9"/>
        <v>0</v>
      </c>
      <c r="K53" s="419">
        <f t="shared" si="8"/>
        <v>258403.54075136391</v>
      </c>
      <c r="L53" s="419">
        <f t="shared" si="10"/>
        <v>12920.177037568195</v>
      </c>
      <c r="M53" s="419">
        <f t="shared" si="6"/>
        <v>271323.71778893209</v>
      </c>
      <c r="N53" s="419">
        <f t="shared" si="11"/>
        <v>3143.9466936586114</v>
      </c>
      <c r="O53" s="419">
        <f t="shared" si="3"/>
        <v>268179.77109527349</v>
      </c>
      <c r="Q53" s="94">
        <f>IF(G53="","",-Ergebnistabelle!AL55)</f>
        <v>-2285.4663017312819</v>
      </c>
    </row>
    <row r="54" spans="2:19" ht="14">
      <c r="E54" s="400"/>
      <c r="F54" s="400"/>
      <c r="G54" s="549">
        <f t="shared" si="12"/>
        <v>50</v>
      </c>
      <c r="H54" s="419">
        <f t="shared" si="7"/>
        <v>268179.77109527349</v>
      </c>
      <c r="I54" s="419" t="str">
        <f t="shared" si="5"/>
        <v>0</v>
      </c>
      <c r="J54" s="420">
        <f t="shared" si="9"/>
        <v>0</v>
      </c>
      <c r="K54" s="419">
        <f t="shared" si="8"/>
        <v>268179.77109527349</v>
      </c>
      <c r="L54" s="419">
        <f t="shared" si="10"/>
        <v>13408.988554763675</v>
      </c>
      <c r="M54" s="419">
        <f t="shared" si="6"/>
        <v>281588.75965003716</v>
      </c>
      <c r="N54" s="419">
        <f t="shared" si="11"/>
        <v>3272.8707313189193</v>
      </c>
      <c r="O54" s="419">
        <f t="shared" si="3"/>
        <v>278315.88891871826</v>
      </c>
      <c r="Q54" s="94">
        <f>IF(G54="","",-Ergebnistabelle!AL56)</f>
        <v>-2356.2137640211699</v>
      </c>
    </row>
    <row r="55" spans="2:19" ht="14">
      <c r="E55" s="400"/>
      <c r="F55" s="400"/>
      <c r="G55" s="546"/>
      <c r="H55" s="547"/>
      <c r="I55" s="547"/>
      <c r="J55" s="547">
        <f>SUMIF(J5:J54,"&gt;0")+H5</f>
        <v>44502.819974016122</v>
      </c>
      <c r="K55" s="547"/>
      <c r="L55" s="547">
        <f>SUMIF(L5:L54,"&gt;0")</f>
        <v>299661.21418635256</v>
      </c>
      <c r="M55" s="547"/>
      <c r="N55" s="547">
        <f>SUMIF(N5:N54,"&gt;0")</f>
        <v>65848.145241650476</v>
      </c>
      <c r="O55" s="548"/>
      <c r="Q55" s="94" t="str">
        <f>IF(G55="","",-Ergebnistabelle!AL57)</f>
        <v/>
      </c>
    </row>
    <row r="56" spans="2:19" ht="14">
      <c r="G56" s="107"/>
      <c r="H56" s="107"/>
      <c r="I56" s="107"/>
      <c r="J56" s="107"/>
      <c r="K56" s="107"/>
      <c r="L56" s="410"/>
      <c r="M56" s="107"/>
      <c r="N56" s="411"/>
      <c r="O56" s="107"/>
      <c r="P56" s="107"/>
      <c r="Q56" s="107"/>
      <c r="R56" s="107"/>
    </row>
    <row r="57" spans="2:19" ht="14">
      <c r="G57" s="107"/>
      <c r="H57" s="107"/>
      <c r="I57" s="107"/>
      <c r="J57" s="107"/>
      <c r="K57" s="107"/>
      <c r="L57" s="107"/>
      <c r="M57" s="107"/>
      <c r="N57" s="107"/>
      <c r="O57" s="107"/>
      <c r="P57" s="107"/>
      <c r="Q57" s="107"/>
      <c r="R57" s="107"/>
    </row>
    <row r="58" spans="2:19" ht="14">
      <c r="R58" s="107"/>
    </row>
    <row r="59" spans="2:19" ht="14">
      <c r="R59" s="107"/>
      <c r="S59" s="409"/>
    </row>
    <row r="60" spans="2:19" ht="14">
      <c r="R60" s="107"/>
    </row>
    <row r="61" spans="2:19" ht="14">
      <c r="R61" s="107"/>
    </row>
    <row r="62" spans="2:19" ht="14">
      <c r="R62" s="107"/>
    </row>
    <row r="63" spans="2:19" ht="14">
      <c r="R63" s="107"/>
    </row>
    <row r="64" spans="2:19" ht="14">
      <c r="R64" s="107"/>
    </row>
    <row r="65" spans="18:18" ht="14">
      <c r="R65" s="107"/>
    </row>
    <row r="66" spans="18:18" ht="14">
      <c r="R66" s="107"/>
    </row>
    <row r="67" spans="18:18" ht="14">
      <c r="R67" s="107"/>
    </row>
    <row r="68" spans="18:18" ht="14">
      <c r="R68" s="107"/>
    </row>
    <row r="69" spans="18:18" ht="14">
      <c r="R69" s="107"/>
    </row>
    <row r="70" spans="18:18" ht="14">
      <c r="R70" s="107"/>
    </row>
    <row r="71" spans="18:18" ht="14">
      <c r="R71" s="107"/>
    </row>
    <row r="72" spans="18:18" ht="14">
      <c r="R72" s="107"/>
    </row>
    <row r="73" spans="18:18" ht="14">
      <c r="R73" s="107"/>
    </row>
    <row r="74" spans="18:18" ht="14">
      <c r="R74" s="107"/>
    </row>
    <row r="75" spans="18:18" ht="14">
      <c r="R75" s="107"/>
    </row>
    <row r="76" spans="18:18" ht="14">
      <c r="R76" s="107"/>
    </row>
    <row r="77" spans="18:18" ht="14">
      <c r="R77" s="107"/>
    </row>
    <row r="78" spans="18:18" ht="14">
      <c r="R78" s="107"/>
    </row>
    <row r="79" spans="18:18" ht="14">
      <c r="R79" s="107"/>
    </row>
    <row r="80" spans="18:18" ht="14">
      <c r="R80" s="107"/>
    </row>
    <row r="81" spans="18:18" ht="14">
      <c r="R81" s="107"/>
    </row>
    <row r="82" spans="18:18" ht="14">
      <c r="R82" s="107"/>
    </row>
    <row r="83" spans="18:18" ht="14">
      <c r="R83" s="107"/>
    </row>
    <row r="84" spans="18:18" ht="14">
      <c r="R84" s="107"/>
    </row>
    <row r="85" spans="18:18" ht="14">
      <c r="R85" s="107"/>
    </row>
    <row r="86" spans="18:18" ht="14">
      <c r="R86" s="107"/>
    </row>
    <row r="87" spans="18:18" ht="14">
      <c r="R87" s="107"/>
    </row>
    <row r="88" spans="18:18" ht="14">
      <c r="R88" s="107"/>
    </row>
    <row r="89" spans="18:18" ht="14">
      <c r="R89" s="107"/>
    </row>
    <row r="90" spans="18:18" ht="14">
      <c r="R90" s="107"/>
    </row>
    <row r="91" spans="18:18" ht="14">
      <c r="R91" s="107"/>
    </row>
  </sheetData>
  <sheetProtection algorithmName="SHA-512" hashValue="mlWImX3Opi2aUWoFHjwlqC5vZ1GT34mNgVV7m/LgXY+RBvi/7vxtQiBekN8jZ7xbnEsvElFe88Y9VtwEgJWaOA==" saltValue="bOowG9qJ/ZctWPipVSA1OQ==" spinCount="100000" sheet="1" objects="1" scenarios="1"/>
  <dataConsolidate/>
  <conditionalFormatting sqref="G5:I54 K5:N54">
    <cfRule type="expression" dxfId="2" priority="13">
      <formula>ISERROR(G5)=TRUE</formula>
    </cfRule>
  </conditionalFormatting>
  <conditionalFormatting sqref="J5:J54">
    <cfRule type="expression" dxfId="1" priority="2">
      <formula>ISERROR(J5)=TRUE</formula>
    </cfRule>
  </conditionalFormatting>
  <dataValidations disablePrompts="1" count="1">
    <dataValidation type="list" allowBlank="1" showInputMessage="1" showErrorMessage="1" sqref="C7" xr:uid="{14601DFA-D727-4AE1-B12F-B520A47DAE1C}">
      <formula1>"Ledig,Verheiratet"</formula1>
    </dataValidation>
  </dataValidations>
  <hyperlinks>
    <hyperlink ref="C37" location="'Eingabe Käuferdaten'!A1" display="Menü" xr:uid="{EF876DC9-16CD-4A05-8F3B-4385FBE48626}"/>
  </hyperlinks>
  <pageMargins left="0.7" right="0.7" top="0.78740157499999996" bottom="0.78740157499999996" header="0.3" footer="0.3"/>
  <pageSetup paperSize="9" orientation="portrait" horizontalDpi="300" verticalDpi="300" r:id="rId1"/>
  <ignoredErrors>
    <ignoredError sqref="G5:H5 H6 H7:H14 K5:K14" calculatedColumn="1"/>
    <ignoredError sqref="Q25 Q26:Q54 Q15:Q24 I25:J50 I15:J24 L25:N50 L15:N24 I51:J53 L51:M53 I54:J54 N51:N54 M54" evalError="1"/>
    <ignoredError sqref="H51:H54 H15:H24 H25:H50 K15:K24 K25:K50 K51:K53 K54:L54" evalError="1" calculatedColumn="1"/>
  </ignoredErrors>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FF577-A9C4-4574-ABF1-AD7BF72CDCCC}">
  <sheetPr codeName="Tabelle12">
    <tabColor rgb="FF92D050"/>
    <pageSetUpPr fitToPage="1"/>
  </sheetPr>
  <dimension ref="A97"/>
  <sheetViews>
    <sheetView showGridLines="0" topLeftCell="A94" workbookViewId="0"/>
  </sheetViews>
  <sheetFormatPr baseColWidth="10" defaultRowHeight="12.5"/>
  <cols>
    <col min="1" max="1" width="3.81640625" customWidth="1"/>
    <col min="2" max="2" width="5" customWidth="1"/>
  </cols>
  <sheetData>
    <row r="97" customFormat="1" ht="9.65" customHeight="1"/>
  </sheetData>
  <sheetProtection algorithmName="SHA-512" hashValue="WCcZntUO64NKl+lPj8STSBdrREtpIZFtWSehWO33BN084wmhHUb0+I/5MOrHfZC6a5LzJKjKjlTD3vdBDNjlKA==" saltValue="+fhrzGtN3JmR94sHfyTkLw==" spinCount="100000" sheet="1" objects="1" scenarios="1"/>
  <pageMargins left="0.70866141732283472" right="0.70866141732283472" top="0.78740157480314965" bottom="0.78740157480314965" header="0.31496062992125984" footer="0.31496062992125984"/>
  <pageSetup paperSize="9" scale="78" fitToHeight="0" orientation="landscape" r:id="rId1"/>
  <rowBreaks count="2" manualBreakCount="2">
    <brk id="47" max="16383" man="1"/>
    <brk id="94"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BM765"/>
  <sheetViews>
    <sheetView showZeros="0" showOutlineSymbols="0" zoomScaleNormal="100" workbookViewId="0">
      <pane ySplit="4" topLeftCell="A27" activePane="bottomLeft" state="frozen"/>
      <selection activeCell="H43" sqref="H43"/>
      <selection pane="bottomLeft" activeCell="W58" sqref="W58"/>
    </sheetView>
  </sheetViews>
  <sheetFormatPr baseColWidth="10" defaultColWidth="11.453125" defaultRowHeight="10" outlineLevelCol="1"/>
  <cols>
    <col min="1" max="1" width="5.453125" style="3" customWidth="1"/>
    <col min="2" max="2" width="8.26953125" style="3" customWidth="1"/>
    <col min="3" max="3" width="9.26953125" style="3" customWidth="1"/>
    <col min="4" max="7" width="8.26953125" style="3" customWidth="1"/>
    <col min="8" max="9" width="11.453125" style="8" hidden="1" customWidth="1" outlineLevel="1"/>
    <col min="10" max="10" width="8.453125" style="8" hidden="1" customWidth="1" collapsed="1"/>
    <col min="11" max="11" width="8.453125" style="8" hidden="1" customWidth="1"/>
    <col min="12" max="14" width="9.1796875" style="3" customWidth="1"/>
    <col min="15" max="15" width="11.453125" style="8" hidden="1" customWidth="1" outlineLevel="1"/>
    <col min="16" max="16" width="11.453125" style="8" hidden="1" customWidth="1" outlineLevel="1" collapsed="1"/>
    <col min="17" max="17" width="10" style="8" hidden="1" customWidth="1" outlineLevel="1"/>
    <col min="18" max="18" width="11.453125" style="8" hidden="1" customWidth="1" outlineLevel="1"/>
    <col min="19" max="19" width="11.453125" style="8" hidden="1" customWidth="1" outlineLevel="1" collapsed="1"/>
    <col min="20" max="20" width="10" style="8" hidden="1" customWidth="1" outlineLevel="1"/>
    <col min="21" max="21" width="9.1796875" style="3" customWidth="1" collapsed="1"/>
    <col min="22" max="22" width="9.1796875" style="3" customWidth="1"/>
    <col min="23" max="23" width="11.453125" style="3" customWidth="1" outlineLevel="1" collapsed="1"/>
    <col min="24" max="24" width="11.7265625" style="8" hidden="1" customWidth="1" outlineLevel="1"/>
    <col min="25" max="26" width="11.453125" style="8" hidden="1" customWidth="1" outlineLevel="1"/>
    <col min="27" max="27" width="11.453125" style="8" customWidth="1" outlineLevel="1"/>
    <col min="28" max="30" width="11.453125" style="8" hidden="1" customWidth="1" outlineLevel="1"/>
    <col min="31" max="31" width="12.26953125" style="8" hidden="1" customWidth="1" outlineLevel="1"/>
    <col min="32" max="32" width="9.1796875" style="3" customWidth="1"/>
    <col min="33" max="33" width="11.26953125" style="3" hidden="1" customWidth="1" outlineLevel="1"/>
    <col min="34" max="36" width="12.7265625" style="3" hidden="1" customWidth="1" outlineLevel="1"/>
    <col min="37" max="37" width="14.26953125" style="3" customWidth="1" collapsed="1"/>
    <col min="38" max="38" width="12.1796875" style="3" customWidth="1" outlineLevel="1"/>
    <col min="39" max="39" width="11.1796875" style="3" customWidth="1" outlineLevel="1"/>
    <col min="40" max="40" width="10.7265625" style="3" customWidth="1"/>
    <col min="41" max="41" width="15.26953125" style="3" customWidth="1"/>
    <col min="42" max="42" width="11.453125" style="3" hidden="1" customWidth="1" outlineLevel="1"/>
    <col min="43" max="43" width="15.81640625" style="3" hidden="1" customWidth="1" collapsed="1"/>
    <col min="44" max="44" width="27.1796875" style="3" hidden="1" customWidth="1"/>
    <col min="45" max="45" width="11.453125" style="3" hidden="1" customWidth="1"/>
    <col min="46" max="46" width="12.453125" style="3" hidden="1" customWidth="1"/>
    <col min="47" max="47" width="19" style="3" hidden="1" customWidth="1"/>
    <col min="48" max="16384" width="11.453125" style="3"/>
  </cols>
  <sheetData>
    <row r="1" spans="1:65" ht="10.5" thickBot="1">
      <c r="A1" s="191"/>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1"/>
      <c r="BB1" s="191"/>
      <c r="BC1" s="191"/>
      <c r="BD1" s="191"/>
      <c r="BE1" s="191"/>
      <c r="BF1" s="191"/>
      <c r="BG1" s="191"/>
      <c r="BH1" s="191"/>
      <c r="BI1" s="191"/>
    </row>
    <row r="2" spans="1:65" ht="32.25" customHeight="1" thickBot="1">
      <c r="A2" s="191"/>
      <c r="B2" s="578" t="str">
        <f>"Investitionsplan vermietete Immobilie
Prognoserechnung für eine Anlagedauer von maximal "&amp;'Eingabe Immodaten'!$H$28&amp;" Jahren"</f>
        <v>Investitionsplan vermietete Immobilie
Prognoserechnung für eine Anlagedauer von maximal 50 Jahren</v>
      </c>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80"/>
      <c r="AM2" s="580"/>
      <c r="AN2" s="580"/>
      <c r="AO2" s="581"/>
      <c r="AV2" s="191"/>
      <c r="AW2" s="191"/>
      <c r="AX2" s="191"/>
      <c r="AY2" s="191"/>
      <c r="AZ2" s="191"/>
      <c r="BA2" s="191"/>
      <c r="BB2" s="191"/>
      <c r="BC2" s="191"/>
      <c r="BD2" s="191"/>
      <c r="BE2" s="191"/>
      <c r="BF2" s="191"/>
      <c r="BG2" s="191"/>
      <c r="BH2" s="191"/>
      <c r="BI2" s="191"/>
      <c r="BJ2" s="191"/>
      <c r="BK2" s="191"/>
      <c r="BL2" s="191"/>
      <c r="BM2" s="191"/>
    </row>
    <row r="3" spans="1:65" ht="13" thickBot="1">
      <c r="A3" s="191"/>
      <c r="B3" s="582"/>
      <c r="C3" s="583"/>
      <c r="D3" s="584"/>
      <c r="E3" s="584"/>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c r="AH3" s="584"/>
      <c r="AI3" s="584"/>
      <c r="AJ3" s="584"/>
      <c r="AK3" s="584"/>
      <c r="AL3" s="584"/>
      <c r="AM3" s="584"/>
      <c r="AN3" s="584"/>
      <c r="AO3" s="585"/>
      <c r="AV3" s="191"/>
      <c r="AW3" s="191"/>
      <c r="AX3" s="191"/>
      <c r="AY3" s="191"/>
      <c r="AZ3" s="191"/>
      <c r="BA3" s="191"/>
      <c r="BB3" s="191"/>
      <c r="BC3" s="191"/>
      <c r="BD3" s="191"/>
      <c r="BE3" s="191"/>
      <c r="BF3" s="191"/>
      <c r="BG3" s="191"/>
      <c r="BH3" s="191"/>
      <c r="BI3" s="191"/>
      <c r="BJ3" s="191"/>
      <c r="BK3" s="191"/>
      <c r="BL3" s="191"/>
      <c r="BM3" s="191"/>
    </row>
    <row r="4" spans="1:65" ht="50">
      <c r="A4" s="192"/>
      <c r="B4" s="38" t="s">
        <v>8</v>
      </c>
      <c r="C4" s="39" t="s">
        <v>58</v>
      </c>
      <c r="D4" s="39" t="s">
        <v>87</v>
      </c>
      <c r="E4" s="39" t="s">
        <v>342</v>
      </c>
      <c r="F4" s="39" t="s">
        <v>88</v>
      </c>
      <c r="G4" s="39" t="s">
        <v>89</v>
      </c>
      <c r="H4" s="39" t="s">
        <v>48</v>
      </c>
      <c r="I4" s="39" t="s">
        <v>49</v>
      </c>
      <c r="J4" s="39" t="s">
        <v>46</v>
      </c>
      <c r="K4" s="39" t="s">
        <v>47</v>
      </c>
      <c r="L4" s="39" t="s">
        <v>83</v>
      </c>
      <c r="M4" s="39" t="s">
        <v>272</v>
      </c>
      <c r="N4" s="39" t="s">
        <v>273</v>
      </c>
      <c r="O4" s="39" t="s">
        <v>32</v>
      </c>
      <c r="P4" s="39" t="s">
        <v>33</v>
      </c>
      <c r="Q4" s="39" t="s">
        <v>34</v>
      </c>
      <c r="R4" s="39" t="s">
        <v>35</v>
      </c>
      <c r="S4" s="39" t="s">
        <v>36</v>
      </c>
      <c r="T4" s="39" t="s">
        <v>37</v>
      </c>
      <c r="U4" s="39" t="s">
        <v>84</v>
      </c>
      <c r="V4" s="39" t="s">
        <v>85</v>
      </c>
      <c r="W4" s="39" t="s">
        <v>86</v>
      </c>
      <c r="X4" s="39" t="s">
        <v>9</v>
      </c>
      <c r="Y4" s="39" t="s">
        <v>16</v>
      </c>
      <c r="Z4" s="39" t="s">
        <v>270</v>
      </c>
      <c r="AA4" s="39" t="s">
        <v>17</v>
      </c>
      <c r="AB4" s="39" t="s">
        <v>18</v>
      </c>
      <c r="AC4" s="39" t="s">
        <v>19</v>
      </c>
      <c r="AD4" s="39" t="s">
        <v>20</v>
      </c>
      <c r="AE4" s="39" t="s">
        <v>15</v>
      </c>
      <c r="AF4" s="39" t="s">
        <v>217</v>
      </c>
      <c r="AG4" s="39" t="s">
        <v>90</v>
      </c>
      <c r="AH4" s="39" t="s">
        <v>11</v>
      </c>
      <c r="AI4" s="39" t="s">
        <v>12</v>
      </c>
      <c r="AJ4" s="39" t="s">
        <v>10</v>
      </c>
      <c r="AK4" s="39" t="s">
        <v>30</v>
      </c>
      <c r="AL4" s="39" t="s">
        <v>91</v>
      </c>
      <c r="AM4" s="39" t="s">
        <v>218</v>
      </c>
      <c r="AN4" s="39" t="s">
        <v>31</v>
      </c>
      <c r="AO4" s="40" t="s">
        <v>219</v>
      </c>
      <c r="AP4" s="3" t="s">
        <v>11</v>
      </c>
      <c r="AQ4" s="3" t="s">
        <v>258</v>
      </c>
      <c r="AR4" s="3" t="s">
        <v>262</v>
      </c>
      <c r="AS4" s="3" t="s">
        <v>56</v>
      </c>
      <c r="AT4" s="3" t="s">
        <v>82</v>
      </c>
      <c r="AU4" s="3" t="s">
        <v>265</v>
      </c>
      <c r="AV4" s="191"/>
      <c r="AW4" s="191"/>
      <c r="AX4" s="191"/>
      <c r="AY4" s="191"/>
      <c r="AZ4" s="191"/>
      <c r="BA4" s="191"/>
      <c r="BB4" s="191"/>
      <c r="BC4" s="191"/>
      <c r="BD4" s="191"/>
      <c r="BE4" s="191"/>
      <c r="BF4" s="191"/>
      <c r="BG4" s="191"/>
      <c r="BH4" s="191"/>
      <c r="BI4" s="191"/>
      <c r="BJ4" s="191"/>
      <c r="BK4" s="191"/>
      <c r="BL4" s="191"/>
      <c r="BM4" s="191"/>
    </row>
    <row r="5" spans="1:65" hidden="1">
      <c r="A5" s="191"/>
      <c r="B5" s="34" t="s">
        <v>114</v>
      </c>
      <c r="C5" s="35" t="s">
        <v>115</v>
      </c>
      <c r="D5" s="36" t="s">
        <v>116</v>
      </c>
      <c r="E5" s="36" t="s">
        <v>341</v>
      </c>
      <c r="F5" s="36" t="s">
        <v>117</v>
      </c>
      <c r="G5" s="36" t="s">
        <v>118</v>
      </c>
      <c r="H5" s="36" t="s">
        <v>119</v>
      </c>
      <c r="I5" s="36" t="s">
        <v>120</v>
      </c>
      <c r="J5" s="36" t="s">
        <v>121</v>
      </c>
      <c r="K5" s="36" t="s">
        <v>122</v>
      </c>
      <c r="L5" s="36" t="s">
        <v>123</v>
      </c>
      <c r="M5" s="36" t="s">
        <v>124</v>
      </c>
      <c r="N5" s="36" t="s">
        <v>125</v>
      </c>
      <c r="O5" s="36" t="s">
        <v>126</v>
      </c>
      <c r="P5" s="36" t="s">
        <v>127</v>
      </c>
      <c r="Q5" s="36" t="s">
        <v>128</v>
      </c>
      <c r="R5" s="36" t="s">
        <v>129</v>
      </c>
      <c r="S5" s="36" t="s">
        <v>130</v>
      </c>
      <c r="T5" s="36" t="s">
        <v>131</v>
      </c>
      <c r="U5" s="36" t="s">
        <v>132</v>
      </c>
      <c r="V5" s="36" t="s">
        <v>133</v>
      </c>
      <c r="W5" s="36" t="s">
        <v>134</v>
      </c>
      <c r="X5" s="36" t="s">
        <v>135</v>
      </c>
      <c r="Y5" s="36" t="s">
        <v>136</v>
      </c>
      <c r="Z5" s="36" t="s">
        <v>271</v>
      </c>
      <c r="AA5" s="36" t="s">
        <v>137</v>
      </c>
      <c r="AB5" s="36" t="s">
        <v>138</v>
      </c>
      <c r="AC5" s="36" t="s">
        <v>139</v>
      </c>
      <c r="AD5" s="36" t="s">
        <v>140</v>
      </c>
      <c r="AE5" s="36" t="s">
        <v>141</v>
      </c>
      <c r="AF5" s="36" t="s">
        <v>142</v>
      </c>
      <c r="AG5" s="36" t="s">
        <v>143</v>
      </c>
      <c r="AH5" s="36" t="s">
        <v>144</v>
      </c>
      <c r="AI5" s="36" t="s">
        <v>145</v>
      </c>
      <c r="AJ5" s="36" t="s">
        <v>146</v>
      </c>
      <c r="AK5" s="36" t="s">
        <v>147</v>
      </c>
      <c r="AL5" s="36" t="s">
        <v>148</v>
      </c>
      <c r="AM5" s="36" t="s">
        <v>149</v>
      </c>
      <c r="AN5" s="36" t="s">
        <v>150</v>
      </c>
      <c r="AO5" s="37" t="s">
        <v>151</v>
      </c>
      <c r="AP5" s="58" t="s">
        <v>236</v>
      </c>
      <c r="AQ5" s="58" t="s">
        <v>259</v>
      </c>
      <c r="AR5" s="58" t="s">
        <v>263</v>
      </c>
      <c r="AS5" s="58" t="s">
        <v>264</v>
      </c>
      <c r="AT5" s="58" t="s">
        <v>266</v>
      </c>
      <c r="AU5" s="58" t="s">
        <v>267</v>
      </c>
      <c r="AV5" s="191"/>
      <c r="AW5" s="191"/>
      <c r="AX5" s="191"/>
      <c r="AY5" s="191"/>
      <c r="AZ5" s="191"/>
      <c r="BA5" s="191"/>
      <c r="BB5" s="191"/>
      <c r="BC5" s="191"/>
      <c r="BD5" s="191"/>
      <c r="BE5" s="191"/>
      <c r="BF5" s="191"/>
      <c r="BG5" s="191"/>
      <c r="BH5" s="191"/>
      <c r="BI5" s="191"/>
      <c r="BJ5" s="191"/>
      <c r="BK5" s="191"/>
      <c r="BL5" s="191"/>
      <c r="BM5" s="191"/>
    </row>
    <row r="6" spans="1:65">
      <c r="A6" s="191"/>
      <c r="B6" s="3">
        <v>0</v>
      </c>
      <c r="D6" s="44"/>
      <c r="E6" s="44">
        <f t="shared" ref="E6:E56" si="0">IF(B6=0,0,E5+D6)</f>
        <v>0</v>
      </c>
      <c r="F6" s="44"/>
      <c r="G6" s="44"/>
      <c r="H6" s="44"/>
      <c r="I6" s="44"/>
      <c r="J6" s="44"/>
      <c r="K6" s="44"/>
      <c r="L6" s="44"/>
      <c r="M6" s="80"/>
      <c r="N6" s="80"/>
      <c r="O6" s="44"/>
      <c r="P6" s="44"/>
      <c r="Q6" s="44"/>
      <c r="R6" s="44"/>
      <c r="S6" s="44"/>
      <c r="T6" s="44"/>
      <c r="U6" s="44">
        <f>'Eingabe Immodaten'!C27</f>
        <v>250122</v>
      </c>
      <c r="V6" s="44">
        <f>'Eingabe Immodaten'!H5</f>
        <v>0</v>
      </c>
      <c r="W6" s="44">
        <f>U6+V6</f>
        <v>250122</v>
      </c>
      <c r="X6" s="44"/>
      <c r="Y6" s="44"/>
      <c r="Z6" s="44">
        <f>Tabelle12[[#This Row],[Spalte23]]</f>
        <v>0</v>
      </c>
      <c r="AA6" s="44"/>
      <c r="AB6" s="44"/>
      <c r="AC6" s="44"/>
      <c r="AD6" s="44"/>
      <c r="AE6" s="44"/>
      <c r="AF6" s="44"/>
      <c r="AG6" s="44"/>
      <c r="AH6" s="44"/>
      <c r="AI6" s="44"/>
      <c r="AJ6" s="44">
        <f>-'Eingabe Immodaten'!C10</f>
        <v>-268881.15000000002</v>
      </c>
      <c r="AK6" s="44">
        <f>-'Eingabe Immodaten'!C22</f>
        <v>-18759</v>
      </c>
      <c r="AL6" s="44"/>
      <c r="AM6" s="44">
        <f>'Eingabe Immodaten'!C22</f>
        <v>18759</v>
      </c>
      <c r="AN6" s="44"/>
      <c r="AO6" s="44"/>
      <c r="AP6" s="44">
        <f>IF(B6='Eingabe Immodaten'!$H$28,Ergebnistabelle!D6*'Eingabe Immodaten'!$H$22,0)</f>
        <v>0</v>
      </c>
      <c r="AQ6" s="44">
        <f>IF(B6='Eingabe Immodaten'!$H$28,Ergebnistabelle!AM6,0)</f>
        <v>0</v>
      </c>
      <c r="AR6" s="44">
        <f>IF(B6='Eingabe Immodaten'!$H$28,Ergebnistabelle!AO6,0)</f>
        <v>0</v>
      </c>
      <c r="AS6" s="44">
        <f>IF(B6='Eingabe Immodaten'!$H$28,Ergebnistabelle!W6,0)</f>
        <v>0</v>
      </c>
      <c r="AT6" s="44">
        <f>IF(B6='Eingabe Immodaten'!$H$28,Ergebnistabelle!G6,0)</f>
        <v>0</v>
      </c>
      <c r="AU6" s="44">
        <f>IF(B6='Eingabe Immodaten'!$H$28,Ergebnistabelle!L6,0)</f>
        <v>0</v>
      </c>
      <c r="AV6" s="191"/>
      <c r="AW6" s="191"/>
      <c r="AX6" s="191"/>
      <c r="AY6" s="191"/>
      <c r="AZ6" s="191"/>
      <c r="BA6" s="191"/>
      <c r="BB6" s="191"/>
      <c r="BC6" s="191"/>
      <c r="BD6" s="191"/>
      <c r="BE6" s="191"/>
      <c r="BF6" s="191"/>
      <c r="BG6" s="191"/>
      <c r="BH6" s="191"/>
      <c r="BI6" s="191"/>
      <c r="BJ6" s="191"/>
      <c r="BK6" s="191"/>
      <c r="BL6" s="191"/>
      <c r="BM6" s="191"/>
    </row>
    <row r="7" spans="1:65">
      <c r="A7" s="191"/>
      <c r="B7" s="45">
        <v>1</v>
      </c>
      <c r="C7" s="45">
        <f t="shared" ref="C7:C46" si="1">D7/12</f>
        <v>950</v>
      </c>
      <c r="D7" s="44">
        <f>IF(B7=0,0,'Eingabe Immodaten'!C11)</f>
        <v>11400</v>
      </c>
      <c r="E7" s="44">
        <f t="shared" si="0"/>
        <v>11400</v>
      </c>
      <c r="F7" s="44">
        <f>'Eingabe Immodaten'!C12+'Eingabe Immodaten'!C13</f>
        <v>1332.12</v>
      </c>
      <c r="G7" s="44">
        <f t="shared" ref="G7:G46" si="2">D7-F7</f>
        <v>10067.880000000001</v>
      </c>
      <c r="H7" s="44">
        <f>IF(B7=0,0,IF(B7&lt;='Eingabe Immodaten'!$C$28,'Eingabe Immodaten'!$C$32,'Eingabe Immodaten'!$C$34))</f>
        <v>15757.685999999998</v>
      </c>
      <c r="I7" s="44">
        <f>IF(B7=0,0,IF(B7&lt;='Eingabe Immodaten'!$H$6,'Eingabe Immodaten'!$H$9,'Eingabe Immodaten'!$H$11))</f>
        <v>0</v>
      </c>
      <c r="J7" s="44">
        <f t="shared" ref="J7:J56" si="3">IF(H7&gt;U6,U6*(1+O7/100),H7)</f>
        <v>15757.685999999998</v>
      </c>
      <c r="K7" s="44">
        <f>IF(I7&gt;V6,V6*(1+R7/100),I7)</f>
        <v>0</v>
      </c>
      <c r="L7" s="44">
        <f>J7+K7</f>
        <v>15757.685999999998</v>
      </c>
      <c r="M7" s="46">
        <v>0</v>
      </c>
      <c r="N7" s="46"/>
      <c r="O7" s="47">
        <f>IF(B7=0,0,IF(B7&lt;='Eingabe Immodaten'!$C$28,'Eingabe Immodaten'!$C$30,'Eingabe Immodaten'!$C$33))</f>
        <v>4.3</v>
      </c>
      <c r="P7" s="44">
        <f t="shared" ref="P7:P56" si="4">IF(B7=0,0,U6*O7/100)</f>
        <v>10755.245999999999</v>
      </c>
      <c r="Q7" s="44">
        <f t="shared" ref="Q7:Q56" si="5">J7-P7</f>
        <v>5002.4399999999987</v>
      </c>
      <c r="R7" s="44">
        <f>IF(B7=0,0,IF(B7&lt;='Eingabe Immodaten'!$H$6,'Eingabe Immodaten'!$H$7,'Eingabe Immodaten'!$H$10))</f>
        <v>2.5299999999999998</v>
      </c>
      <c r="S7" s="44">
        <f t="shared" ref="S7:S56" si="6">IF(B7=0,0,V6*R7/100)</f>
        <v>0</v>
      </c>
      <c r="T7" s="44">
        <f>K7-S7</f>
        <v>0</v>
      </c>
      <c r="U7" s="44">
        <f t="shared" ref="U7:U56" si="7">IF(B7=0,0,U6-Q7-M7+0.0000001)</f>
        <v>245119.5600001</v>
      </c>
      <c r="V7" s="44">
        <f t="shared" ref="V7:V56" si="8">IF(B7=0,0,V6-T7-N7+0.0000001)</f>
        <v>9.9999999999999995E-8</v>
      </c>
      <c r="W7" s="44">
        <f t="shared" ref="W7:W46" si="9">IF(B7=0,0,U7+V7)</f>
        <v>245119.5600002</v>
      </c>
      <c r="X7" s="44">
        <f>IF(B7=0,0,'Eingabe Immodaten'!$H$14)</f>
        <v>215104.92000000004</v>
      </c>
      <c r="Y7" s="93">
        <f>IF(B7=0,0,('Eingabe Immodaten'!$H$15))</f>
        <v>3.5</v>
      </c>
      <c r="Z7" s="93">
        <f>IF(B7=0,0,IF(Z6+1&gt;99,0,Z6+Tabelle12[[#This Row],[Spalte23]]))</f>
        <v>3.5</v>
      </c>
      <c r="AA7" s="44">
        <f t="shared" ref="AA7:AA46" si="10">X7*Y7/100</f>
        <v>7528.6722000000018</v>
      </c>
      <c r="AB7" s="44">
        <f>IF(B7=0,0,IF(B7&lt;13,'Eingabe Immodaten'!$H$16,0))</f>
        <v>0</v>
      </c>
      <c r="AC7" s="47">
        <f t="shared" ref="AC7:AC26" si="11">IF(B7=0,0,IF(B7&lt;9,9,IF(B7&lt;13,7,0)))</f>
        <v>9</v>
      </c>
      <c r="AD7" s="44">
        <f>AB7*AC7/100</f>
        <v>0</v>
      </c>
      <c r="AE7" s="44">
        <f>'Eingabe Immodaten'!C9+IF(B7=0,0,IF(B7&lt;='Eingabe Immodaten'!$C$28,IF('Eingabe Immodaten'!$C$29&gt;5,'Eingabe Immodaten'!$C$29/100*'Eingabe Immodaten'!$C$23/'Eingabe Immodaten'!$C$28,'Eingabe Immodaten'!$C$29/100*'Eingabe Immodaten'!$C$23),0))</f>
        <v>0</v>
      </c>
      <c r="AF7" s="44">
        <f>(G7-P7-S7-AA7-AD7-AE7)*'Eingabe Immodaten'!$H$19</f>
        <v>-3204.2548979999997</v>
      </c>
      <c r="AG7" s="44">
        <f t="shared" ref="AG7:AG46" si="12">IF(B7=0,0,G7-AF7-L7+AH7)</f>
        <v>-2485.5511019999976</v>
      </c>
      <c r="AH7" s="44"/>
      <c r="AI7" s="44">
        <f>IF(B7='Eingabe Immodaten'!$H$28,U7,0)</f>
        <v>0</v>
      </c>
      <c r="AJ7" s="44">
        <f t="shared" ref="AJ7:AJ46" si="13">G7-AF7+AH7</f>
        <v>13272.134898</v>
      </c>
      <c r="AK7" s="44">
        <f t="shared" ref="AK7:AK46" si="14">IF(B7=0,0,AG7+AH7-AI7)</f>
        <v>-2485.5511019999976</v>
      </c>
      <c r="AL7" s="48">
        <f>AG7/12</f>
        <v>-207.12925849999979</v>
      </c>
      <c r="AM7" s="48">
        <f>AG7-AM6</f>
        <v>-21244.551101999998</v>
      </c>
      <c r="AN7" s="44">
        <f>IF(B7=0,0,D8*'Eingabe Immodaten'!$H$22)</f>
        <v>260907.24</v>
      </c>
      <c r="AO7" s="44">
        <f>IF(D7=0,0,AN7-W7+Tabelle12[[#This Row],[Spalte36]])</f>
        <v>-5456.8711022000061</v>
      </c>
      <c r="AP7" s="44">
        <f>IF(B7='Eingabe Immodaten'!$H$28,Ergebnistabelle!D7*'Eingabe Immodaten'!$H$22,0)</f>
        <v>0</v>
      </c>
      <c r="AQ7" s="44">
        <f>IF(B7='Eingabe Immodaten'!$H$28,Ergebnistabelle!AM7,0)</f>
        <v>0</v>
      </c>
      <c r="AR7" s="44">
        <f>IF(B7='Eingabe Immodaten'!$H$28,Ergebnistabelle!AO7,0)</f>
        <v>0</v>
      </c>
      <c r="AS7" s="44">
        <f>IF(B7='Eingabe Immodaten'!$H$28,Ergebnistabelle!W7,0)</f>
        <v>0</v>
      </c>
      <c r="AT7" s="44">
        <f>IF(B7='Eingabe Immodaten'!$H$28,Ergebnistabelle!G7,0)</f>
        <v>0</v>
      </c>
      <c r="AU7" s="44">
        <f>IF(B7='Eingabe Immodaten'!$H$28,Ergebnistabelle!L7,0)</f>
        <v>0</v>
      </c>
      <c r="AV7" s="191"/>
      <c r="AW7" s="191"/>
      <c r="AX7" s="191"/>
      <c r="AY7" s="191"/>
      <c r="AZ7" s="191"/>
      <c r="BA7" s="191"/>
      <c r="BB7" s="191"/>
      <c r="BC7" s="191"/>
      <c r="BD7" s="191"/>
      <c r="BE7" s="191"/>
      <c r="BF7" s="191"/>
      <c r="BG7" s="191"/>
      <c r="BH7" s="191"/>
      <c r="BI7" s="191"/>
      <c r="BJ7" s="191"/>
      <c r="BK7" s="191"/>
      <c r="BL7" s="191"/>
      <c r="BM7" s="191"/>
    </row>
    <row r="8" spans="1:65">
      <c r="A8" s="191"/>
      <c r="B8" s="45">
        <f>IF(B7=0,0,IF(B7+1&gt;'Eingabe Immodaten'!$H$28,0,B7+1))</f>
        <v>2</v>
      </c>
      <c r="C8" s="49">
        <f t="shared" si="1"/>
        <v>978.5</v>
      </c>
      <c r="D8" s="44">
        <f>IF(B8=0,0,D7*(1+'Eingabe Immodaten'!$C$15/100))</f>
        <v>11742</v>
      </c>
      <c r="E8" s="44">
        <f t="shared" si="0"/>
        <v>23142</v>
      </c>
      <c r="F8" s="44">
        <f>IF(B8=0,0,F7*(1+'Eingabe Immodaten'!$C$16/100))</f>
        <v>1345.4412</v>
      </c>
      <c r="G8" s="44">
        <f t="shared" si="2"/>
        <v>10396.558800000001</v>
      </c>
      <c r="H8" s="44">
        <f>IF(B8=0,0,IF(B8&lt;='Eingabe Immodaten'!$C$28,'Eingabe Immodaten'!$C$32,'Eingabe Immodaten'!$C$34))</f>
        <v>15757.685999999998</v>
      </c>
      <c r="I8" s="44">
        <f>IF(B8=0,0,IF(B8&lt;='Eingabe Immodaten'!$H$6,'Eingabe Immodaten'!$H$9,'Eingabe Immodaten'!$H$11))</f>
        <v>0</v>
      </c>
      <c r="J8" s="44">
        <f t="shared" si="3"/>
        <v>15757.685999999998</v>
      </c>
      <c r="K8" s="44">
        <f t="shared" ref="K8:K56" si="15">IF(I8&gt;V7,V7*(1+R8/100),I8)</f>
        <v>0</v>
      </c>
      <c r="L8" s="44">
        <f t="shared" ref="L8:L56" si="16">J8+K8</f>
        <v>15757.685999999998</v>
      </c>
      <c r="M8" s="46"/>
      <c r="N8" s="46">
        <v>0</v>
      </c>
      <c r="O8" s="47">
        <f>IF(B8=0,0,IF(B8&lt;='Eingabe Immodaten'!$C$28,'Eingabe Immodaten'!$C$30,'Eingabe Immodaten'!$C$33))</f>
        <v>4.3</v>
      </c>
      <c r="P8" s="44">
        <f t="shared" si="4"/>
        <v>10540.141080004301</v>
      </c>
      <c r="Q8" s="44">
        <f t="shared" si="5"/>
        <v>5217.5449199956965</v>
      </c>
      <c r="R8" s="44">
        <f>IF(B8=0,0,IF(B8&lt;='Eingabe Immodaten'!$H$6,'Eingabe Immodaten'!$H$7,'Eingabe Immodaten'!$H$10))</f>
        <v>2.5299999999999998</v>
      </c>
      <c r="S8" s="44">
        <f t="shared" si="6"/>
        <v>2.5299999999999993E-9</v>
      </c>
      <c r="T8" s="44">
        <f t="shared" ref="T8:T56" si="17">K8-S8</f>
        <v>-2.5299999999999993E-9</v>
      </c>
      <c r="U8" s="44">
        <f t="shared" si="7"/>
        <v>239902.01508020429</v>
      </c>
      <c r="V8" s="44">
        <f t="shared" si="8"/>
        <v>2.0253E-7</v>
      </c>
      <c r="W8" s="44">
        <f t="shared" si="9"/>
        <v>239902.01508040683</v>
      </c>
      <c r="X8" s="44">
        <f>IF(B8=0,0,'Eingabe Immodaten'!$H$14)</f>
        <v>215104.92000000004</v>
      </c>
      <c r="Y8" s="93">
        <f>IF(B8=0,0,IF(Z7=0,0,('Eingabe Immodaten'!$H$15)))</f>
        <v>3.5</v>
      </c>
      <c r="Z8" s="93">
        <f>IF(B8=0,0,IF(Z7+1&gt;99,0,Z7+Tabelle12[[#This Row],[Spalte23]]))</f>
        <v>7</v>
      </c>
      <c r="AA8" s="44">
        <f t="shared" si="10"/>
        <v>7528.6722000000018</v>
      </c>
      <c r="AB8" s="44">
        <f>IF(B8=0,0,IF(B8&lt;13,'Eingabe Immodaten'!$H$16,0))</f>
        <v>0</v>
      </c>
      <c r="AC8" s="47">
        <f t="shared" si="11"/>
        <v>9</v>
      </c>
      <c r="AD8" s="44">
        <f t="shared" ref="AD8:AD26" si="18">AB8*AC8/100</f>
        <v>0</v>
      </c>
      <c r="AE8" s="44">
        <f>IF(B8=0,0,IF(B8&lt;='Eingabe Immodaten'!$C$28,IF('Eingabe Immodaten'!$C$29&gt;5,'Eingabe Immodaten'!$C$29/100*'Eingabe Immodaten'!$C$23/'Eingabe Immodaten'!$C$28,0),0))</f>
        <v>0</v>
      </c>
      <c r="AF8" s="44">
        <f>(G8-P8-S8-AA8-AD8)*'Eingabe Immodaten'!$H$19</f>
        <v>-2992.179247202665</v>
      </c>
      <c r="AG8" s="44">
        <f t="shared" si="12"/>
        <v>-2368.9479527973326</v>
      </c>
      <c r="AH8" s="44"/>
      <c r="AI8" s="44">
        <f>IF(B8='Eingabe Immodaten'!$H$28,U8,0)</f>
        <v>0</v>
      </c>
      <c r="AJ8" s="44">
        <f t="shared" si="13"/>
        <v>13388.738047202665</v>
      </c>
      <c r="AK8" s="44">
        <f t="shared" si="14"/>
        <v>-2368.9479527973326</v>
      </c>
      <c r="AL8" s="48">
        <f t="shared" ref="AL8:AL46" si="19">AG8/12</f>
        <v>-197.41232939977772</v>
      </c>
      <c r="AM8" s="44">
        <f t="shared" ref="AM8:AM56" si="20">IF(B8=0,0,AM7+AG8)</f>
        <v>-23613.499054797328</v>
      </c>
      <c r="AN8" s="44">
        <f>IF(B8=0,0,D8*(1+'Eingabe Immodaten'!$C$15/100))*'Eingabe Immodaten'!H22</f>
        <v>268734.4572</v>
      </c>
      <c r="AO8" s="44">
        <f>IF(D8=0,0,AN8-W8+Tabelle12[[#This Row],[Spalte36]])</f>
        <v>5218.9430647958507</v>
      </c>
      <c r="AP8" s="44">
        <f>IF(B8='Eingabe Immodaten'!$H$28,Ergebnistabelle!D8*'Eingabe Immodaten'!$H$22,0)</f>
        <v>0</v>
      </c>
      <c r="AQ8" s="44">
        <f>IF(B8='Eingabe Immodaten'!$H$28,Ergebnistabelle!AM8,0)</f>
        <v>0</v>
      </c>
      <c r="AR8" s="44">
        <f>IF(B8='Eingabe Immodaten'!$H$28,Ergebnistabelle!AO8,0)</f>
        <v>0</v>
      </c>
      <c r="AS8" s="44">
        <f>IF(B8='Eingabe Immodaten'!$H$28,Ergebnistabelle!W8,0)</f>
        <v>0</v>
      </c>
      <c r="AT8" s="44">
        <f>IF(B8='Eingabe Immodaten'!$H$28,Ergebnistabelle!G8,0)</f>
        <v>0</v>
      </c>
      <c r="AU8" s="44">
        <f>IF(B8='Eingabe Immodaten'!$H$28,Ergebnistabelle!L8,0)</f>
        <v>0</v>
      </c>
      <c r="AV8" s="191"/>
      <c r="AW8" s="191"/>
      <c r="AX8" s="191"/>
      <c r="AY8" s="191"/>
      <c r="AZ8" s="191"/>
      <c r="BA8" s="191"/>
      <c r="BB8" s="191"/>
      <c r="BC8" s="191"/>
      <c r="BD8" s="191"/>
      <c r="BE8" s="191"/>
      <c r="BF8" s="191"/>
      <c r="BG8" s="191"/>
      <c r="BH8" s="191"/>
      <c r="BI8" s="191"/>
      <c r="BJ8" s="191"/>
      <c r="BK8" s="191"/>
      <c r="BL8" s="191"/>
      <c r="BM8" s="191"/>
    </row>
    <row r="9" spans="1:65">
      <c r="A9" s="191"/>
      <c r="B9" s="44">
        <f>IF(B8=0,0,IF(B8+1&gt;'Eingabe Immodaten'!$H$28,0,B8+1))</f>
        <v>3</v>
      </c>
      <c r="C9" s="49">
        <f t="shared" si="1"/>
        <v>1007.855</v>
      </c>
      <c r="D9" s="44">
        <f>IF(B9=0,0,D8*(1+'Eingabe Immodaten'!$C$15/100))</f>
        <v>12094.26</v>
      </c>
      <c r="E9" s="44">
        <f t="shared" si="0"/>
        <v>35236.26</v>
      </c>
      <c r="F9" s="44">
        <f>IF(B9=0,0,F8*(1+'Eingabe Immodaten'!$C$16/100))</f>
        <v>1358.895612</v>
      </c>
      <c r="G9" s="44">
        <f t="shared" si="2"/>
        <v>10735.364388</v>
      </c>
      <c r="H9" s="44">
        <f>IF(B9=0,0,IF(B9&lt;='Eingabe Immodaten'!$C$28,'Eingabe Immodaten'!$C$32,'Eingabe Immodaten'!$C$34))</f>
        <v>15757.685999999998</v>
      </c>
      <c r="I9" s="44">
        <f>IF(B9=0,0,IF(B9&lt;='Eingabe Immodaten'!$H$6,'Eingabe Immodaten'!$H$9,'Eingabe Immodaten'!$H$11))</f>
        <v>0</v>
      </c>
      <c r="J9" s="44">
        <f t="shared" si="3"/>
        <v>15757.685999999998</v>
      </c>
      <c r="K9" s="44">
        <f t="shared" si="15"/>
        <v>0</v>
      </c>
      <c r="L9" s="44">
        <f t="shared" si="16"/>
        <v>15757.685999999998</v>
      </c>
      <c r="M9" s="46"/>
      <c r="N9" s="46"/>
      <c r="O9" s="47">
        <f>IF(B9=0,0,IF(B9&lt;='Eingabe Immodaten'!$C$28,'Eingabe Immodaten'!$C$30,'Eingabe Immodaten'!$C$33))</f>
        <v>4.3</v>
      </c>
      <c r="P9" s="44">
        <f t="shared" si="4"/>
        <v>10315.786648448784</v>
      </c>
      <c r="Q9" s="44">
        <f t="shared" si="5"/>
        <v>5441.8993515512138</v>
      </c>
      <c r="R9" s="44">
        <f>IF(B9=0,0,IF(B9&lt;='Eingabe Immodaten'!$H$6,'Eingabe Immodaten'!$H$7,'Eingabe Immodaten'!$H$10))</f>
        <v>2.5299999999999998</v>
      </c>
      <c r="S9" s="44">
        <f t="shared" si="6"/>
        <v>5.1240089999999997E-9</v>
      </c>
      <c r="T9" s="44">
        <f t="shared" si="17"/>
        <v>-5.1240089999999997E-9</v>
      </c>
      <c r="U9" s="44">
        <f t="shared" si="7"/>
        <v>234460.11572875307</v>
      </c>
      <c r="V9" s="44">
        <f t="shared" si="8"/>
        <v>3.0765400899999996E-7</v>
      </c>
      <c r="W9" s="44">
        <f t="shared" si="9"/>
        <v>234460.11572906072</v>
      </c>
      <c r="X9" s="44">
        <f>IF(B9=0,0,'Eingabe Immodaten'!$H$14)</f>
        <v>215104.92000000004</v>
      </c>
      <c r="Y9" s="93">
        <f>IF(B9=0,0,IF(Z8=0,0,('Eingabe Immodaten'!$H$15)))</f>
        <v>3.5</v>
      </c>
      <c r="Z9" s="93">
        <f>IF(B9=0,0,IF(Z8+1&gt;99,0,Z8+Tabelle12[[#This Row],[Spalte23]]))</f>
        <v>10.5</v>
      </c>
      <c r="AA9" s="44">
        <f t="shared" si="10"/>
        <v>7528.6722000000018</v>
      </c>
      <c r="AB9" s="44">
        <f>IF(B9=0,0,IF(B9&lt;13,'Eingabe Immodaten'!$H$16,0))</f>
        <v>0</v>
      </c>
      <c r="AC9" s="47">
        <f t="shared" si="11"/>
        <v>9</v>
      </c>
      <c r="AD9" s="44">
        <f t="shared" si="18"/>
        <v>0</v>
      </c>
      <c r="AE9" s="44">
        <f>IF(B9=0,0,IF(B9&lt;='Eingabe Immodaten'!$C$28,IF('Eingabe Immodaten'!$C$29&gt;5,'Eingabe Immodaten'!$C$29/100*'Eingabe Immodaten'!$C$23/'Eingabe Immodaten'!$C$28,0),0))</f>
        <v>0</v>
      </c>
      <c r="AF9" s="44">
        <f>(G9-P9-S9-AA9-AD9)*'Eingabe Immodaten'!$H$19</f>
        <v>-2772.5468395770249</v>
      </c>
      <c r="AG9" s="44">
        <f t="shared" si="12"/>
        <v>-2249.7747724229739</v>
      </c>
      <c r="AH9" s="44"/>
      <c r="AI9" s="44">
        <f>IF(B9='Eingabe Immodaten'!$H$28,U9,0)</f>
        <v>0</v>
      </c>
      <c r="AJ9" s="44">
        <f t="shared" si="13"/>
        <v>13507.911227577024</v>
      </c>
      <c r="AK9" s="44">
        <f t="shared" si="14"/>
        <v>-2249.7747724229739</v>
      </c>
      <c r="AL9" s="48">
        <f t="shared" si="19"/>
        <v>-187.48123103524782</v>
      </c>
      <c r="AM9" s="44">
        <f t="shared" si="20"/>
        <v>-25863.273827220302</v>
      </c>
      <c r="AN9" s="44">
        <f>IF(B9=0,0,D9*(1+'Eingabe Immodaten'!$C$15/100))*'Eingabe Immodaten'!H22</f>
        <v>276796.49091600004</v>
      </c>
      <c r="AO9" s="44">
        <f>IF(D9=0,0,AN9-W9+Tabelle12[[#This Row],[Spalte36]])</f>
        <v>16473.101359719014</v>
      </c>
      <c r="AP9" s="44">
        <f>IF(B9='Eingabe Immodaten'!$H$28,Ergebnistabelle!D9*'Eingabe Immodaten'!$H$22,0)</f>
        <v>0</v>
      </c>
      <c r="AQ9" s="44">
        <f>IF(B9='Eingabe Immodaten'!$H$28,Ergebnistabelle!AM9,0)</f>
        <v>0</v>
      </c>
      <c r="AR9" s="44">
        <f>IF(B9='Eingabe Immodaten'!$H$28,Ergebnistabelle!AO9,0)</f>
        <v>0</v>
      </c>
      <c r="AS9" s="44">
        <f>IF(B9='Eingabe Immodaten'!$H$28,Ergebnistabelle!W9,0)</f>
        <v>0</v>
      </c>
      <c r="AT9" s="44">
        <f>IF(B9='Eingabe Immodaten'!$H$28,Ergebnistabelle!G9,0)</f>
        <v>0</v>
      </c>
      <c r="AU9" s="44">
        <f>IF(B9='Eingabe Immodaten'!$H$28,Ergebnistabelle!L9,0)</f>
        <v>0</v>
      </c>
      <c r="AV9" s="191"/>
      <c r="AW9" s="191"/>
      <c r="AX9" s="191"/>
      <c r="AY9" s="191"/>
      <c r="AZ9" s="191"/>
      <c r="BA9" s="191"/>
      <c r="BB9" s="191"/>
      <c r="BC9" s="191"/>
      <c r="BD9" s="191"/>
      <c r="BE9" s="191"/>
      <c r="BF9" s="191"/>
      <c r="BG9" s="191"/>
      <c r="BH9" s="191"/>
      <c r="BI9" s="191"/>
      <c r="BJ9" s="191"/>
      <c r="BK9" s="191"/>
      <c r="BL9" s="191"/>
      <c r="BM9" s="191"/>
    </row>
    <row r="10" spans="1:65">
      <c r="A10" s="191"/>
      <c r="B10" s="44">
        <f>IF(B9=0,0,IF(B9+1&gt;'Eingabe Immodaten'!$H$28,0,B9+1))</f>
        <v>4</v>
      </c>
      <c r="C10" s="49">
        <f t="shared" si="1"/>
        <v>1038.0906500000001</v>
      </c>
      <c r="D10" s="44">
        <f>IF(B10=0,0,D9*(1+'Eingabe Immodaten'!$C$15/100))</f>
        <v>12457.087800000001</v>
      </c>
      <c r="E10" s="44">
        <f t="shared" si="0"/>
        <v>47693.347800000003</v>
      </c>
      <c r="F10" s="44">
        <f>IF(B10=0,0,F9*(1+'Eingabe Immodaten'!$C$16/100))</f>
        <v>1372.4845681199999</v>
      </c>
      <c r="G10" s="44">
        <f t="shared" si="2"/>
        <v>11084.603231880001</v>
      </c>
      <c r="H10" s="44">
        <f>IF(B10=0,0,IF(B10&lt;='Eingabe Immodaten'!$C$28,'Eingabe Immodaten'!$C$32,'Eingabe Immodaten'!$C$34))</f>
        <v>15757.685999999998</v>
      </c>
      <c r="I10" s="44">
        <f>IF(B10=0,0,IF(B10&lt;='Eingabe Immodaten'!$H$6,'Eingabe Immodaten'!$H$9,'Eingabe Immodaten'!$H$11))</f>
        <v>0</v>
      </c>
      <c r="J10" s="44">
        <f t="shared" si="3"/>
        <v>15757.685999999998</v>
      </c>
      <c r="K10" s="44">
        <f t="shared" si="15"/>
        <v>0</v>
      </c>
      <c r="L10" s="44">
        <f t="shared" si="16"/>
        <v>15757.685999999998</v>
      </c>
      <c r="M10" s="46"/>
      <c r="N10" s="46"/>
      <c r="O10" s="47">
        <f>IF(B10=0,0,IF(B10&lt;='Eingabe Immodaten'!$C$28,'Eingabe Immodaten'!$C$30,'Eingabe Immodaten'!$C$33))</f>
        <v>4.3</v>
      </c>
      <c r="P10" s="44">
        <f t="shared" si="4"/>
        <v>10081.784976336381</v>
      </c>
      <c r="Q10" s="44">
        <f t="shared" si="5"/>
        <v>5675.9010236636168</v>
      </c>
      <c r="R10" s="44">
        <f>IF(B10=0,0,IF(B10&lt;='Eingabe Immodaten'!$H$6,'Eingabe Immodaten'!$H$7,'Eingabe Immodaten'!$H$10))</f>
        <v>2.5299999999999998</v>
      </c>
      <c r="S10" s="44">
        <f t="shared" si="6"/>
        <v>7.7836464276999992E-9</v>
      </c>
      <c r="T10" s="44">
        <f t="shared" si="17"/>
        <v>-7.7836464276999992E-9</v>
      </c>
      <c r="U10" s="44">
        <f t="shared" si="7"/>
        <v>228784.21470518946</v>
      </c>
      <c r="V10" s="44">
        <f t="shared" si="8"/>
        <v>4.1543765542769995E-7</v>
      </c>
      <c r="W10" s="44">
        <f t="shared" si="9"/>
        <v>228784.21470560489</v>
      </c>
      <c r="X10" s="44">
        <f>IF(B10=0,0,'Eingabe Immodaten'!$H$14)</f>
        <v>215104.92000000004</v>
      </c>
      <c r="Y10" s="93">
        <f>IF(B10=0,0,IF(Z9=0,0,('Eingabe Immodaten'!$H$15)))</f>
        <v>3.5</v>
      </c>
      <c r="Z10" s="93">
        <f>IF(B10=0,0,IF(Z9+1&gt;99,0,Z9+Tabelle12[[#This Row],[Spalte23]]))</f>
        <v>14</v>
      </c>
      <c r="AA10" s="44">
        <f t="shared" si="10"/>
        <v>7528.6722000000018</v>
      </c>
      <c r="AB10" s="44">
        <f>IF(B10=0,0,IF(B10&lt;13,'Eingabe Immodaten'!$H$16,0))</f>
        <v>0</v>
      </c>
      <c r="AC10" s="47">
        <f t="shared" si="11"/>
        <v>9</v>
      </c>
      <c r="AD10" s="44">
        <f t="shared" si="18"/>
        <v>0</v>
      </c>
      <c r="AE10" s="44">
        <f>IF(B10=0,0,IF(B10&lt;='Eingabe Immodaten'!$C$28,IF('Eingabe Immodaten'!$C$29&gt;5,'Eingabe Immodaten'!$C$29/100*'Eingabe Immodaten'!$C$23/'Eingabe Immodaten'!$C$28,0),0))</f>
        <v>0</v>
      </c>
      <c r="AF10" s="44">
        <f>(G10-P10-S10-AA10-AD10)*'Eingabe Immodaten'!$H$19</f>
        <v>-2545.0830383410248</v>
      </c>
      <c r="AG10" s="44">
        <f t="shared" si="12"/>
        <v>-2127.9997297789723</v>
      </c>
      <c r="AH10" s="44"/>
      <c r="AI10" s="44">
        <f>IF(B10='Eingabe Immodaten'!$H$28,U10,0)</f>
        <v>0</v>
      </c>
      <c r="AJ10" s="44">
        <f t="shared" si="13"/>
        <v>13629.686270221026</v>
      </c>
      <c r="AK10" s="44">
        <f t="shared" si="14"/>
        <v>-2127.9997297789723</v>
      </c>
      <c r="AL10" s="48">
        <f t="shared" si="19"/>
        <v>-177.33331081491437</v>
      </c>
      <c r="AM10" s="44">
        <f t="shared" si="20"/>
        <v>-27991.273556999273</v>
      </c>
      <c r="AN10" s="44">
        <f>IF(B10=0,0,D10*(1+'Eingabe Immodaten'!$C$15/100))*'Eingabe Immodaten'!H22</f>
        <v>285100.38564348</v>
      </c>
      <c r="AO10" s="44">
        <f>IF(D10=0,0,AN10-W10+Tabelle12[[#This Row],[Spalte36]])</f>
        <v>28324.897380875838</v>
      </c>
      <c r="AP10" s="44">
        <f>IF(B10='Eingabe Immodaten'!$H$28,Ergebnistabelle!D10*'Eingabe Immodaten'!$H$22,0)</f>
        <v>0</v>
      </c>
      <c r="AQ10" s="44">
        <f>IF(B10='Eingabe Immodaten'!$H$28,Ergebnistabelle!AM10,0)</f>
        <v>0</v>
      </c>
      <c r="AR10" s="44">
        <f>IF(B10='Eingabe Immodaten'!$H$28,Ergebnistabelle!AO10,0)</f>
        <v>0</v>
      </c>
      <c r="AS10" s="44">
        <f>IF(B10='Eingabe Immodaten'!$H$28,Ergebnistabelle!W10,0)</f>
        <v>0</v>
      </c>
      <c r="AT10" s="44">
        <f>IF(B10='Eingabe Immodaten'!$H$28,Ergebnistabelle!G10,0)</f>
        <v>0</v>
      </c>
      <c r="AU10" s="44">
        <f>IF(B10='Eingabe Immodaten'!$H$28,Ergebnistabelle!L10,0)</f>
        <v>0</v>
      </c>
      <c r="AV10" s="191"/>
      <c r="AW10" s="191"/>
      <c r="AX10" s="191"/>
      <c r="AY10" s="191"/>
      <c r="AZ10" s="191"/>
      <c r="BA10" s="191"/>
      <c r="BB10" s="191"/>
      <c r="BC10" s="191"/>
      <c r="BD10" s="191"/>
      <c r="BE10" s="191"/>
      <c r="BF10" s="191"/>
      <c r="BG10" s="191"/>
      <c r="BH10" s="191"/>
      <c r="BI10" s="191"/>
      <c r="BJ10" s="191"/>
      <c r="BK10" s="191"/>
      <c r="BL10" s="191"/>
      <c r="BM10" s="191"/>
    </row>
    <row r="11" spans="1:65">
      <c r="A11" s="191"/>
      <c r="B11" s="44">
        <f>IF(B10=0,0,IF(B10+1&gt;'Eingabe Immodaten'!$H$28,0,B10+1))</f>
        <v>5</v>
      </c>
      <c r="C11" s="49">
        <f t="shared" si="1"/>
        <v>1069.2333695</v>
      </c>
      <c r="D11" s="44">
        <f>IF(B11=0,0,D10*(1+'Eingabe Immodaten'!$C$15/100))</f>
        <v>12830.800434000001</v>
      </c>
      <c r="E11" s="44">
        <f t="shared" si="0"/>
        <v>60524.148234000008</v>
      </c>
      <c r="F11" s="44">
        <f>IF(B11=0,0,F10*(1+'Eingabe Immodaten'!$C$16/100))</f>
        <v>1386.2094138012001</v>
      </c>
      <c r="G11" s="44">
        <f t="shared" si="2"/>
        <v>11444.591020198801</v>
      </c>
      <c r="H11" s="44">
        <f>IF(B11=0,0,IF(B11&lt;='Eingabe Immodaten'!$C$28,'Eingabe Immodaten'!$C$32,'Eingabe Immodaten'!$C$34))</f>
        <v>15757.685999999998</v>
      </c>
      <c r="I11" s="44">
        <f>IF(B11=0,0,IF(B11&lt;='Eingabe Immodaten'!$H$6,'Eingabe Immodaten'!$H$9,'Eingabe Immodaten'!$H$11))</f>
        <v>0</v>
      </c>
      <c r="J11" s="44">
        <f t="shared" si="3"/>
        <v>15757.685999999998</v>
      </c>
      <c r="K11" s="44">
        <f t="shared" si="15"/>
        <v>0</v>
      </c>
      <c r="L11" s="44">
        <f t="shared" si="16"/>
        <v>15757.685999999998</v>
      </c>
      <c r="M11" s="46"/>
      <c r="N11" s="46"/>
      <c r="O11" s="47">
        <f>IF(B11=0,0,IF(B11&lt;='Eingabe Immodaten'!$C$28,'Eingabe Immodaten'!$C$30,'Eingabe Immodaten'!$C$33))</f>
        <v>4.3</v>
      </c>
      <c r="P11" s="44">
        <f t="shared" si="4"/>
        <v>9837.7212323231452</v>
      </c>
      <c r="Q11" s="44">
        <f t="shared" si="5"/>
        <v>5919.9647676768527</v>
      </c>
      <c r="R11" s="44">
        <f>IF(B11=0,0,IF(B11&lt;='Eingabe Immodaten'!$H$6,'Eingabe Immodaten'!$H$7,'Eingabe Immodaten'!$H$10))</f>
        <v>2.5299999999999998</v>
      </c>
      <c r="S11" s="44">
        <f t="shared" si="6"/>
        <v>1.0510572682320809E-8</v>
      </c>
      <c r="T11" s="44">
        <f t="shared" si="17"/>
        <v>-1.0510572682320809E-8</v>
      </c>
      <c r="U11" s="44">
        <f t="shared" si="7"/>
        <v>222864.24993761259</v>
      </c>
      <c r="V11" s="44">
        <f t="shared" si="8"/>
        <v>5.2594822811002074E-7</v>
      </c>
      <c r="W11" s="44">
        <f t="shared" si="9"/>
        <v>222864.24993813853</v>
      </c>
      <c r="X11" s="44">
        <f>IF(B11=0,0,'Eingabe Immodaten'!$H$14)</f>
        <v>215104.92000000004</v>
      </c>
      <c r="Y11" s="93">
        <f>IF(B11=0,0,IF(Z10=0,0,('Eingabe Immodaten'!$H$15)))</f>
        <v>3.5</v>
      </c>
      <c r="Z11" s="93">
        <f>IF(B11=0,0,IF(Z10+1&gt;99,0,Z10+Tabelle12[[#This Row],[Spalte23]]))</f>
        <v>17.5</v>
      </c>
      <c r="AA11" s="44">
        <f t="shared" si="10"/>
        <v>7528.6722000000018</v>
      </c>
      <c r="AB11" s="44">
        <f>IF(B11=0,0,IF(B11&lt;13,'Eingabe Immodaten'!$H$16,0))</f>
        <v>0</v>
      </c>
      <c r="AC11" s="47">
        <f t="shared" si="11"/>
        <v>9</v>
      </c>
      <c r="AD11" s="44">
        <f t="shared" si="18"/>
        <v>0</v>
      </c>
      <c r="AE11" s="44">
        <f>IF(B11=0,0,IF(B11&lt;='Eingabe Immodaten'!$C$28,IF('Eingabe Immodaten'!$C$29&gt;5,'Eingabe Immodaten'!$C$29/100*'Eingabe Immodaten'!$C$23/'Eingabe Immodaten'!$C$28,0),0))</f>
        <v>0</v>
      </c>
      <c r="AF11" s="44">
        <f>(G11-P11-S11-AA11-AD11)*'Eingabe Immodaten'!$H$19</f>
        <v>-2309.5029407325942</v>
      </c>
      <c r="AG11" s="44">
        <f t="shared" si="12"/>
        <v>-2003.5920390686024</v>
      </c>
      <c r="AH11" s="44"/>
      <c r="AI11" s="44">
        <f>IF(B11='Eingabe Immodaten'!$H$28,U11,0)</f>
        <v>0</v>
      </c>
      <c r="AJ11" s="44">
        <f t="shared" si="13"/>
        <v>13754.093960931395</v>
      </c>
      <c r="AK11" s="44">
        <f t="shared" si="14"/>
        <v>-2003.5920390686024</v>
      </c>
      <c r="AL11" s="48">
        <f t="shared" si="19"/>
        <v>-166.96600325571686</v>
      </c>
      <c r="AM11" s="44">
        <f t="shared" si="20"/>
        <v>-29994.865596067873</v>
      </c>
      <c r="AN11" s="44">
        <f>IF(B11=0,0,D11*(1+'Eingabe Immodaten'!$C$15/100))*'Eingabe Immodaten'!H22</f>
        <v>293653.39721278439</v>
      </c>
      <c r="AO11" s="44">
        <f>IF(D11=0,0,AN11-W11+Tabelle12[[#This Row],[Spalte36]])</f>
        <v>40794.281678577987</v>
      </c>
      <c r="AP11" s="44">
        <f>IF(B11='Eingabe Immodaten'!$H$28,Ergebnistabelle!D11*'Eingabe Immodaten'!$H$22,0)</f>
        <v>0</v>
      </c>
      <c r="AQ11" s="44">
        <f>IF(B11='Eingabe Immodaten'!$H$28,Ergebnistabelle!AM11,0)</f>
        <v>0</v>
      </c>
      <c r="AR11" s="44">
        <f>IF(B11='Eingabe Immodaten'!$H$28,Ergebnistabelle!AO11,0)</f>
        <v>0</v>
      </c>
      <c r="AS11" s="44">
        <f>IF(B11='Eingabe Immodaten'!$H$28,Ergebnistabelle!W11,0)</f>
        <v>0</v>
      </c>
      <c r="AT11" s="44">
        <f>IF(B11='Eingabe Immodaten'!$H$28,Ergebnistabelle!G11,0)</f>
        <v>0</v>
      </c>
      <c r="AU11" s="44">
        <f>IF(B11='Eingabe Immodaten'!$H$28,Ergebnistabelle!L11,0)</f>
        <v>0</v>
      </c>
      <c r="AV11" s="191"/>
      <c r="AW11" s="191"/>
      <c r="AX11" s="191"/>
      <c r="AY11" s="191"/>
      <c r="AZ11" s="191"/>
      <c r="BA11" s="191"/>
      <c r="BB11" s="191"/>
      <c r="BC11" s="191"/>
      <c r="BD11" s="191"/>
      <c r="BE11" s="191"/>
      <c r="BF11" s="191"/>
      <c r="BG11" s="191"/>
      <c r="BH11" s="191"/>
      <c r="BI11" s="191"/>
      <c r="BJ11" s="191"/>
      <c r="BK11" s="191"/>
      <c r="BL11" s="191"/>
      <c r="BM11" s="191"/>
    </row>
    <row r="12" spans="1:65">
      <c r="A12" s="191"/>
      <c r="B12" s="44">
        <f>IF(B11=0,0,IF(B11+1&gt;'Eingabe Immodaten'!$H$28,0,B11+1))</f>
        <v>6</v>
      </c>
      <c r="C12" s="49">
        <f t="shared" si="1"/>
        <v>1101.3103705850001</v>
      </c>
      <c r="D12" s="44">
        <f>IF(B12=0,0,D11*(1+'Eingabe Immodaten'!$C$15/100))</f>
        <v>13215.72444702</v>
      </c>
      <c r="E12" s="44">
        <f t="shared" si="0"/>
        <v>73739.872681020002</v>
      </c>
      <c r="F12" s="44">
        <f>IF(B12=0,0,F11*(1+'Eingabe Immodaten'!$C$16/100))</f>
        <v>1400.0715079392121</v>
      </c>
      <c r="G12" s="44">
        <f t="shared" si="2"/>
        <v>11815.652939080788</v>
      </c>
      <c r="H12" s="44">
        <f>IF(B12=0,0,IF(B12&lt;='Eingabe Immodaten'!$C$28,'Eingabe Immodaten'!$C$32,'Eingabe Immodaten'!$C$34))</f>
        <v>15757.685999999998</v>
      </c>
      <c r="I12" s="44">
        <f>IF(B12=0,0,IF(B12&lt;='Eingabe Immodaten'!$H$6,'Eingabe Immodaten'!$H$9,'Eingabe Immodaten'!$H$11))</f>
        <v>0</v>
      </c>
      <c r="J12" s="44">
        <f t="shared" si="3"/>
        <v>15757.685999999998</v>
      </c>
      <c r="K12" s="44">
        <f t="shared" si="15"/>
        <v>0</v>
      </c>
      <c r="L12" s="44">
        <f t="shared" si="16"/>
        <v>15757.685999999998</v>
      </c>
      <c r="M12" s="46"/>
      <c r="N12" s="46"/>
      <c r="O12" s="47">
        <f>IF(B12=0,0,IF(B12&lt;='Eingabe Immodaten'!$C$28,'Eingabe Immodaten'!$C$30,'Eingabe Immodaten'!$C$33))</f>
        <v>4.3</v>
      </c>
      <c r="P12" s="44">
        <f t="shared" si="4"/>
        <v>9583.1627473173412</v>
      </c>
      <c r="Q12" s="44">
        <f t="shared" si="5"/>
        <v>6174.5232526826567</v>
      </c>
      <c r="R12" s="44">
        <f>IF(B12=0,0,IF(B12&lt;='Eingabe Immodaten'!$H$6,'Eingabe Immodaten'!$H$7,'Eingabe Immodaten'!$H$10))</f>
        <v>2.5299999999999998</v>
      </c>
      <c r="S12" s="44">
        <f t="shared" si="6"/>
        <v>1.3306490171183523E-8</v>
      </c>
      <c r="T12" s="44">
        <f t="shared" si="17"/>
        <v>-1.3306490171183523E-8</v>
      </c>
      <c r="U12" s="44">
        <f t="shared" si="7"/>
        <v>216689.72668502995</v>
      </c>
      <c r="V12" s="44">
        <f t="shared" si="8"/>
        <v>6.3925471828120427E-7</v>
      </c>
      <c r="W12" s="44">
        <f t="shared" si="9"/>
        <v>216689.72668566921</v>
      </c>
      <c r="X12" s="44">
        <f>IF(B12=0,0,'Eingabe Immodaten'!$H$14)</f>
        <v>215104.92000000004</v>
      </c>
      <c r="Y12" s="93">
        <f>IF(B12=0,0,IF(Z11=0,0,('Eingabe Immodaten'!$H$15)))</f>
        <v>3.5</v>
      </c>
      <c r="Z12" s="93">
        <f>IF(B12=0,0,IF(Z11+1&gt;99,0,Z11+Tabelle12[[#This Row],[Spalte23]]))</f>
        <v>21</v>
      </c>
      <c r="AA12" s="44">
        <f t="shared" si="10"/>
        <v>7528.6722000000018</v>
      </c>
      <c r="AB12" s="44">
        <f>IF(B12=0,0,IF(B12&lt;13,'Eingabe Immodaten'!$H$16,0))</f>
        <v>0</v>
      </c>
      <c r="AC12" s="47">
        <f t="shared" si="11"/>
        <v>9</v>
      </c>
      <c r="AD12" s="44">
        <f t="shared" si="18"/>
        <v>0</v>
      </c>
      <c r="AE12" s="44">
        <f>IF(B12=0,0,IF(B12&lt;='Eingabe Immodaten'!$C$28,IF('Eingabe Immodaten'!$C$29&gt;5,'Eingabe Immodaten'!$C$29/100*'Eingabe Immodaten'!$C$23/'Eingabe Immodaten'!$C$28,0),0))</f>
        <v>0</v>
      </c>
      <c r="AF12" s="44">
        <f>(G12-P12-S12-AA12-AD12)*'Eingabe Immodaten'!$H$19</f>
        <v>-2065.5109832174462</v>
      </c>
      <c r="AG12" s="44">
        <f t="shared" si="12"/>
        <v>-1876.5220777017639</v>
      </c>
      <c r="AH12" s="44"/>
      <c r="AI12" s="44">
        <f>IF(B12='Eingabe Immodaten'!$H$28,U12,0)</f>
        <v>0</v>
      </c>
      <c r="AJ12" s="44">
        <f t="shared" si="13"/>
        <v>13881.163922298234</v>
      </c>
      <c r="AK12" s="44">
        <f t="shared" si="14"/>
        <v>-1876.5220777017639</v>
      </c>
      <c r="AL12" s="48">
        <f t="shared" si="19"/>
        <v>-156.37683980848033</v>
      </c>
      <c r="AM12" s="44">
        <f t="shared" si="20"/>
        <v>-31871.387673769637</v>
      </c>
      <c r="AN12" s="44">
        <f>IF(B12=0,0,D12*(1+'Eingabe Immodaten'!$C$15/100))*'Eingabe Immodaten'!H22</f>
        <v>302462.99912916793</v>
      </c>
      <c r="AO12" s="44">
        <f>IF(D12=0,0,AN12-W12+Tabelle12[[#This Row],[Spalte36]])</f>
        <v>53901.884769729077</v>
      </c>
      <c r="AP12" s="44">
        <f>IF(B12='Eingabe Immodaten'!$H$28,Ergebnistabelle!D12*'Eingabe Immodaten'!$H$22,0)</f>
        <v>0</v>
      </c>
      <c r="AQ12" s="44">
        <f>IF(B12='Eingabe Immodaten'!$H$28,Ergebnistabelle!AM12,0)</f>
        <v>0</v>
      </c>
      <c r="AR12" s="44">
        <f>IF(B12='Eingabe Immodaten'!$H$28,Ergebnistabelle!AO12,0)</f>
        <v>0</v>
      </c>
      <c r="AS12" s="44">
        <f>IF(B12='Eingabe Immodaten'!$H$28,Ergebnistabelle!W12,0)</f>
        <v>0</v>
      </c>
      <c r="AT12" s="44">
        <f>IF(B12='Eingabe Immodaten'!$H$28,Ergebnistabelle!G12,0)</f>
        <v>0</v>
      </c>
      <c r="AU12" s="44">
        <f>IF(B12='Eingabe Immodaten'!$H$28,Ergebnistabelle!L12,0)</f>
        <v>0</v>
      </c>
      <c r="AV12" s="191"/>
      <c r="AW12" s="191"/>
      <c r="AX12" s="191"/>
      <c r="AY12" s="191"/>
      <c r="AZ12" s="191"/>
      <c r="BA12" s="191"/>
      <c r="BB12" s="191"/>
      <c r="BC12" s="191"/>
      <c r="BD12" s="191"/>
      <c r="BE12" s="191"/>
      <c r="BF12" s="191"/>
      <c r="BG12" s="191"/>
      <c r="BH12" s="191"/>
      <c r="BI12" s="191"/>
      <c r="BJ12" s="191"/>
      <c r="BK12" s="191"/>
      <c r="BL12" s="191"/>
      <c r="BM12" s="191"/>
    </row>
    <row r="13" spans="1:65">
      <c r="A13" s="191"/>
      <c r="B13" s="44">
        <f>IF(B12=0,0,IF(B12+1&gt;'Eingabe Immodaten'!$H$28,0,B12+1))</f>
        <v>7</v>
      </c>
      <c r="C13" s="49">
        <f t="shared" si="1"/>
        <v>1134.34968170255</v>
      </c>
      <c r="D13" s="44">
        <f>IF(B13=0,0,D12*(1+'Eingabe Immodaten'!$C$15/100))</f>
        <v>13612.196180430601</v>
      </c>
      <c r="E13" s="44">
        <f t="shared" si="0"/>
        <v>87352.068861450607</v>
      </c>
      <c r="F13" s="44">
        <f>IF(B13=0,0,F12*(1+'Eingabe Immodaten'!$C$16/100))</f>
        <v>1414.0722230186043</v>
      </c>
      <c r="G13" s="44">
        <f t="shared" si="2"/>
        <v>12198.123957411997</v>
      </c>
      <c r="H13" s="44">
        <f>IF(B13=0,0,IF(B13&lt;='Eingabe Immodaten'!$C$28,'Eingabe Immodaten'!$C$32,'Eingabe Immodaten'!$C$34))</f>
        <v>15757.685999999998</v>
      </c>
      <c r="I13" s="44">
        <f>IF(B13=0,0,IF(B13&lt;='Eingabe Immodaten'!$H$6,'Eingabe Immodaten'!$H$9,'Eingabe Immodaten'!$H$11))</f>
        <v>0</v>
      </c>
      <c r="J13" s="44">
        <f t="shared" si="3"/>
        <v>15757.685999999998</v>
      </c>
      <c r="K13" s="44">
        <f t="shared" si="15"/>
        <v>0</v>
      </c>
      <c r="L13" s="44">
        <f t="shared" si="16"/>
        <v>15757.685999999998</v>
      </c>
      <c r="M13" s="46"/>
      <c r="N13" s="46"/>
      <c r="O13" s="47">
        <f>IF(B13=0,0,IF(B13&lt;='Eingabe Immodaten'!$C$28,'Eingabe Immodaten'!$C$30,'Eingabe Immodaten'!$C$33))</f>
        <v>4.3</v>
      </c>
      <c r="P13" s="44">
        <f t="shared" si="4"/>
        <v>9317.6582474562874</v>
      </c>
      <c r="Q13" s="44">
        <f t="shared" si="5"/>
        <v>6440.0277525437104</v>
      </c>
      <c r="R13" s="44">
        <f>IF(B13=0,0,IF(B13&lt;='Eingabe Immodaten'!$H$6,'Eingabe Immodaten'!$H$7,'Eingabe Immodaten'!$H$10))</f>
        <v>2.5299999999999998</v>
      </c>
      <c r="S13" s="44">
        <f t="shared" si="6"/>
        <v>1.6173144372514467E-8</v>
      </c>
      <c r="T13" s="44">
        <f t="shared" si="17"/>
        <v>-1.6173144372514467E-8</v>
      </c>
      <c r="U13" s="44">
        <f t="shared" si="7"/>
        <v>210249.69893258624</v>
      </c>
      <c r="V13" s="44">
        <f t="shared" si="8"/>
        <v>7.554278626537187E-7</v>
      </c>
      <c r="W13" s="44">
        <f t="shared" si="9"/>
        <v>210249.69893334166</v>
      </c>
      <c r="X13" s="44">
        <f>IF(B13=0,0,'Eingabe Immodaten'!$H$14)</f>
        <v>215104.92000000004</v>
      </c>
      <c r="Y13" s="93">
        <f>IF(B13=0,0,IF(Z12=0,0,('Eingabe Immodaten'!$H$15)))</f>
        <v>3.5</v>
      </c>
      <c r="Z13" s="93">
        <f>IF(B13=0,0,IF(Z12+1&gt;99,0,Z12+Tabelle12[[#This Row],[Spalte23]]))</f>
        <v>24.5</v>
      </c>
      <c r="AA13" s="44">
        <f t="shared" si="10"/>
        <v>7528.6722000000018</v>
      </c>
      <c r="AB13" s="44">
        <f>IF(B13=0,0,IF(B13&lt;13,'Eingabe Immodaten'!$H$16,0))</f>
        <v>0</v>
      </c>
      <c r="AC13" s="47">
        <f t="shared" si="11"/>
        <v>9</v>
      </c>
      <c r="AD13" s="44">
        <f t="shared" si="18"/>
        <v>0</v>
      </c>
      <c r="AE13" s="44">
        <f>IF(B13=0,0,IF(B13&lt;='Eingabe Immodaten'!$C$28,IF('Eingabe Immodaten'!$C$29&gt;5,'Eingabe Immodaten'!$C$29/100*'Eingabe Immodaten'!$C$23/'Eingabe Immodaten'!$C$28,0),0))</f>
        <v>0</v>
      </c>
      <c r="AF13" s="44">
        <f>(G13-P13-S13-AA13-AD13)*'Eingabe Immodaten'!$H$19</f>
        <v>-1812.8005311235815</v>
      </c>
      <c r="AG13" s="44">
        <f t="shared" si="12"/>
        <v>-1746.7615114644195</v>
      </c>
      <c r="AH13" s="44"/>
      <c r="AI13" s="44">
        <f>IF(B13='Eingabe Immodaten'!$H$28,U13,0)</f>
        <v>0</v>
      </c>
      <c r="AJ13" s="44">
        <f t="shared" si="13"/>
        <v>14010.924488535578</v>
      </c>
      <c r="AK13" s="44">
        <f t="shared" si="14"/>
        <v>-1746.7615114644195</v>
      </c>
      <c r="AL13" s="48">
        <f t="shared" si="19"/>
        <v>-145.56345928870164</v>
      </c>
      <c r="AM13" s="44">
        <f t="shared" si="20"/>
        <v>-33618.149185234055</v>
      </c>
      <c r="AN13" s="44">
        <f>IF(B13=0,0,D13*(1+'Eingabe Immodaten'!$C$15/100))*'Eingabe Immodaten'!H22</f>
        <v>311536.88910304301</v>
      </c>
      <c r="AO13" s="44">
        <f>IF(D13=0,0,AN13-W13+Tabelle12[[#This Row],[Spalte36]])</f>
        <v>67669.040984467298</v>
      </c>
      <c r="AP13" s="44">
        <f>IF(B13='Eingabe Immodaten'!$H$28,Ergebnistabelle!D13*'Eingabe Immodaten'!$H$22,0)</f>
        <v>0</v>
      </c>
      <c r="AQ13" s="44">
        <f>IF(B13='Eingabe Immodaten'!$H$28,Ergebnistabelle!AM13,0)</f>
        <v>0</v>
      </c>
      <c r="AR13" s="44">
        <f>IF(B13='Eingabe Immodaten'!$H$28,Ergebnistabelle!AO13,0)</f>
        <v>0</v>
      </c>
      <c r="AS13" s="44">
        <f>IF(B13='Eingabe Immodaten'!$H$28,Ergebnistabelle!W13,0)</f>
        <v>0</v>
      </c>
      <c r="AT13" s="44">
        <f>IF(B13='Eingabe Immodaten'!$H$28,Ergebnistabelle!G13,0)</f>
        <v>0</v>
      </c>
      <c r="AU13" s="44">
        <f>IF(B13='Eingabe Immodaten'!$H$28,Ergebnistabelle!L13,0)</f>
        <v>0</v>
      </c>
      <c r="AV13" s="191"/>
      <c r="AW13" s="191"/>
      <c r="AX13" s="191"/>
      <c r="AY13" s="191"/>
      <c r="AZ13" s="191"/>
      <c r="BA13" s="191"/>
      <c r="BB13" s="191"/>
      <c r="BC13" s="191"/>
      <c r="BD13" s="191"/>
      <c r="BE13" s="191"/>
      <c r="BF13" s="191"/>
      <c r="BG13" s="191"/>
      <c r="BH13" s="191"/>
      <c r="BI13" s="191"/>
      <c r="BJ13" s="191"/>
      <c r="BK13" s="191"/>
      <c r="BL13" s="191"/>
      <c r="BM13" s="191"/>
    </row>
    <row r="14" spans="1:65">
      <c r="A14" s="191"/>
      <c r="B14" s="44">
        <f>IF(B13=0,0,IF(B13+1&gt;'Eingabe Immodaten'!$H$28,0,B13+1))</f>
        <v>8</v>
      </c>
      <c r="C14" s="49">
        <f t="shared" si="1"/>
        <v>1168.3801721536267</v>
      </c>
      <c r="D14" s="44">
        <f>IF(B14=0,0,D13*(1+'Eingabe Immodaten'!$C$15/100))</f>
        <v>14020.56206584352</v>
      </c>
      <c r="E14" s="44">
        <f t="shared" si="0"/>
        <v>101372.63092729413</v>
      </c>
      <c r="F14" s="44">
        <f>IF(B14=0,0,F13*(1+'Eingabe Immodaten'!$C$16/100))</f>
        <v>1428.2129452487904</v>
      </c>
      <c r="G14" s="44">
        <f t="shared" si="2"/>
        <v>12592.34912059473</v>
      </c>
      <c r="H14" s="44">
        <f>IF(B14=0,0,IF(B14&lt;='Eingabe Immodaten'!$C$28,'Eingabe Immodaten'!$C$32,'Eingabe Immodaten'!$C$34))</f>
        <v>15757.685999999998</v>
      </c>
      <c r="I14" s="44">
        <f>IF(B14=0,0,IF(B14&lt;='Eingabe Immodaten'!$H$6,'Eingabe Immodaten'!$H$9,'Eingabe Immodaten'!$H$11))</f>
        <v>0</v>
      </c>
      <c r="J14" s="44">
        <f t="shared" si="3"/>
        <v>15757.685999999998</v>
      </c>
      <c r="K14" s="44">
        <f t="shared" si="15"/>
        <v>0</v>
      </c>
      <c r="L14" s="44">
        <f t="shared" si="16"/>
        <v>15757.685999999998</v>
      </c>
      <c r="M14" s="46"/>
      <c r="N14" s="46"/>
      <c r="O14" s="47">
        <f>IF(B14=0,0,IF(B14&lt;='Eingabe Immodaten'!$C$28,'Eingabe Immodaten'!$C$30,'Eingabe Immodaten'!$C$33))</f>
        <v>4.3</v>
      </c>
      <c r="P14" s="44">
        <f t="shared" si="4"/>
        <v>9040.7370541012078</v>
      </c>
      <c r="Q14" s="44">
        <f t="shared" si="5"/>
        <v>6716.94894589879</v>
      </c>
      <c r="R14" s="44">
        <f>IF(B14=0,0,IF(B14&lt;='Eingabe Immodaten'!$H$6,'Eingabe Immodaten'!$H$7,'Eingabe Immodaten'!$H$10))</f>
        <v>2.5299999999999998</v>
      </c>
      <c r="S14" s="44">
        <f t="shared" si="6"/>
        <v>1.9112324925139083E-8</v>
      </c>
      <c r="T14" s="44">
        <f t="shared" si="17"/>
        <v>-1.9112324925139083E-8</v>
      </c>
      <c r="U14" s="44">
        <f t="shared" si="7"/>
        <v>203532.74998678744</v>
      </c>
      <c r="V14" s="44">
        <f t="shared" si="8"/>
        <v>8.745401875788578E-7</v>
      </c>
      <c r="W14" s="44">
        <f t="shared" si="9"/>
        <v>203532.74998766198</v>
      </c>
      <c r="X14" s="44">
        <f>IF(B14=0,0,'Eingabe Immodaten'!$H$14)</f>
        <v>215104.92000000004</v>
      </c>
      <c r="Y14" s="93">
        <f>IF(B14=0,0,IF(Z13=0,0,('Eingabe Immodaten'!$H$15)))</f>
        <v>3.5</v>
      </c>
      <c r="Z14" s="93">
        <f>IF(B14=0,0,IF(Z13+1&gt;99,0,Z13+Tabelle12[[#This Row],[Spalte23]]))</f>
        <v>28</v>
      </c>
      <c r="AA14" s="44">
        <f t="shared" si="10"/>
        <v>7528.6722000000018</v>
      </c>
      <c r="AB14" s="44">
        <f>IF(B14=0,0,IF(B14&lt;13,'Eingabe Immodaten'!$H$16,0))</f>
        <v>0</v>
      </c>
      <c r="AC14" s="47">
        <f t="shared" si="11"/>
        <v>9</v>
      </c>
      <c r="AD14" s="44">
        <f t="shared" si="18"/>
        <v>0</v>
      </c>
      <c r="AE14" s="44">
        <f>IF(B14=0,0,IF(B14&lt;='Eingabe Immodaten'!$C$28,IF('Eingabe Immodaten'!$C$29&gt;5,'Eingabe Immodaten'!$C$29/100*'Eingabe Immodaten'!$C$23/'Eingabe Immodaten'!$C$28,0),0))</f>
        <v>0</v>
      </c>
      <c r="AF14" s="44">
        <f>(G14-P14-S14-AA14-AD14)*'Eingabe Immodaten'!$H$19</f>
        <v>-1551.0534520749807</v>
      </c>
      <c r="AG14" s="44">
        <f t="shared" si="12"/>
        <v>-1614.2834273302869</v>
      </c>
      <c r="AH14" s="44"/>
      <c r="AI14" s="44">
        <f>IF(B14='Eingabe Immodaten'!$H$28,U14,0)</f>
        <v>0</v>
      </c>
      <c r="AJ14" s="44">
        <f t="shared" si="13"/>
        <v>14143.402572669711</v>
      </c>
      <c r="AK14" s="44">
        <f t="shared" si="14"/>
        <v>-1614.2834273302869</v>
      </c>
      <c r="AL14" s="48">
        <f t="shared" si="19"/>
        <v>-134.52361894419059</v>
      </c>
      <c r="AM14" s="44">
        <f t="shared" si="20"/>
        <v>-35232.432612564342</v>
      </c>
      <c r="AN14" s="44">
        <f>IF(B14=0,0,D14*(1+'Eingabe Immodaten'!$C$15/100))*'Eingabe Immodaten'!H22</f>
        <v>320882.99577613431</v>
      </c>
      <c r="AO14" s="44">
        <f>IF(D14=0,0,AN14-W14+Tabelle12[[#This Row],[Spalte36]])</f>
        <v>82117.813175907984</v>
      </c>
      <c r="AP14" s="44">
        <f>IF(B14='Eingabe Immodaten'!$H$28,Ergebnistabelle!D14*'Eingabe Immodaten'!$H$22,0)</f>
        <v>0</v>
      </c>
      <c r="AQ14" s="44">
        <f>IF(B14='Eingabe Immodaten'!$H$28,Ergebnistabelle!AM14,0)</f>
        <v>0</v>
      </c>
      <c r="AR14" s="44">
        <f>IF(B14='Eingabe Immodaten'!$H$28,Ergebnistabelle!AO14,0)</f>
        <v>0</v>
      </c>
      <c r="AS14" s="44">
        <f>IF(B14='Eingabe Immodaten'!$H$28,Ergebnistabelle!W14,0)</f>
        <v>0</v>
      </c>
      <c r="AT14" s="44">
        <f>IF(B14='Eingabe Immodaten'!$H$28,Ergebnistabelle!G14,0)</f>
        <v>0</v>
      </c>
      <c r="AU14" s="44">
        <f>IF(B14='Eingabe Immodaten'!$H$28,Ergebnistabelle!L14,0)</f>
        <v>0</v>
      </c>
      <c r="AV14" s="191"/>
      <c r="AW14" s="191"/>
      <c r="AX14" s="191"/>
      <c r="AY14" s="191"/>
      <c r="AZ14" s="191"/>
      <c r="BA14" s="191"/>
      <c r="BB14" s="191"/>
      <c r="BC14" s="191"/>
      <c r="BD14" s="191"/>
      <c r="BE14" s="191"/>
      <c r="BF14" s="191"/>
      <c r="BG14" s="191"/>
      <c r="BH14" s="191"/>
      <c r="BI14" s="191"/>
      <c r="BJ14" s="191"/>
      <c r="BK14" s="191"/>
      <c r="BL14" s="191"/>
      <c r="BM14" s="191"/>
    </row>
    <row r="15" spans="1:65">
      <c r="A15" s="191"/>
      <c r="B15" s="44">
        <f>IF(B14=0,0,IF(B14+1&gt;'Eingabe Immodaten'!$H$28,0,B14+1))</f>
        <v>9</v>
      </c>
      <c r="C15" s="49">
        <f t="shared" si="1"/>
        <v>1203.4315773182354</v>
      </c>
      <c r="D15" s="44">
        <f>IF(B15=0,0,D14*(1+'Eingabe Immodaten'!$C$15/100))</f>
        <v>14441.178927818826</v>
      </c>
      <c r="E15" s="44">
        <f t="shared" si="0"/>
        <v>115813.80985511295</v>
      </c>
      <c r="F15" s="44">
        <f>IF(B15=0,0,F14*(1+'Eingabe Immodaten'!$C$16/100))</f>
        <v>1442.4950747012783</v>
      </c>
      <c r="G15" s="44">
        <f t="shared" si="2"/>
        <v>12998.683853117547</v>
      </c>
      <c r="H15" s="44">
        <f>IF(B15=0,0,IF(B15&lt;='Eingabe Immodaten'!$C$28,'Eingabe Immodaten'!$C$32,'Eingabe Immodaten'!$C$34))</f>
        <v>15757.685999999998</v>
      </c>
      <c r="I15" s="44">
        <f>IF(B15=0,0,IF(B15&lt;='Eingabe Immodaten'!$H$6,'Eingabe Immodaten'!$H$9,'Eingabe Immodaten'!$H$11))</f>
        <v>0</v>
      </c>
      <c r="J15" s="44">
        <f t="shared" si="3"/>
        <v>15757.685999999998</v>
      </c>
      <c r="K15" s="44">
        <f t="shared" si="15"/>
        <v>0</v>
      </c>
      <c r="L15" s="44">
        <f t="shared" si="16"/>
        <v>15757.685999999998</v>
      </c>
      <c r="M15" s="46"/>
      <c r="N15" s="46"/>
      <c r="O15" s="47">
        <f>IF(B15=0,0,IF(B15&lt;='Eingabe Immodaten'!$C$28,'Eingabe Immodaten'!$C$30,'Eingabe Immodaten'!$C$33))</f>
        <v>4.3</v>
      </c>
      <c r="P15" s="44">
        <f t="shared" si="4"/>
        <v>8751.9082494318609</v>
      </c>
      <c r="Q15" s="44">
        <f t="shared" si="5"/>
        <v>7005.777750568137</v>
      </c>
      <c r="R15" s="44">
        <f>IF(B15=0,0,IF(B15&lt;='Eingabe Immodaten'!$H$6,'Eingabe Immodaten'!$H$7,'Eingabe Immodaten'!$H$10))</f>
        <v>2.5299999999999998</v>
      </c>
      <c r="S15" s="44">
        <f t="shared" si="6"/>
        <v>2.2125866745745101E-8</v>
      </c>
      <c r="T15" s="44">
        <f t="shared" si="17"/>
        <v>-2.2125866745745101E-8</v>
      </c>
      <c r="U15" s="44">
        <f t="shared" si="7"/>
        <v>196526.9722363193</v>
      </c>
      <c r="V15" s="44">
        <f t="shared" si="8"/>
        <v>9.9666605432460295E-7</v>
      </c>
      <c r="W15" s="44">
        <f t="shared" si="9"/>
        <v>196526.97223731596</v>
      </c>
      <c r="X15" s="44">
        <f>IF(B15=0,0,'Eingabe Immodaten'!$H$14)</f>
        <v>215104.92000000004</v>
      </c>
      <c r="Y15" s="93">
        <f>IF(B15=0,0,IF(Z14=0,0,('Eingabe Immodaten'!$H$15)))</f>
        <v>3.5</v>
      </c>
      <c r="Z15" s="93">
        <f>IF(B15=0,0,IF(Z14+1&gt;99,0,Z14+Tabelle12[[#This Row],[Spalte23]]))</f>
        <v>31.5</v>
      </c>
      <c r="AA15" s="44">
        <f t="shared" si="10"/>
        <v>7528.6722000000018</v>
      </c>
      <c r="AB15" s="44">
        <f>IF(B15=0,0,IF(B15&lt;13,'Eingabe Immodaten'!$H$16,0))</f>
        <v>0</v>
      </c>
      <c r="AC15" s="47">
        <f t="shared" si="11"/>
        <v>7</v>
      </c>
      <c r="AD15" s="44">
        <f t="shared" si="18"/>
        <v>0</v>
      </c>
      <c r="AE15" s="44">
        <f>IF(B15=0,0,IF(B15&lt;='Eingabe Immodaten'!$C$28,IF('Eingabe Immodaten'!$C$29&gt;5,'Eingabe Immodaten'!$C$29/100*'Eingabe Immodaten'!$C$23/'Eingabe Immodaten'!$C$28,0),0))</f>
        <v>0</v>
      </c>
      <c r="AF15" s="44">
        <f>(G15-P15-S15-AA15-AD15)*'Eingabe Immodaten'!$H$19</f>
        <v>-1279.9396725712122</v>
      </c>
      <c r="AG15" s="44">
        <f t="shared" si="12"/>
        <v>-1479.0624743112385</v>
      </c>
      <c r="AH15" s="44"/>
      <c r="AI15" s="44">
        <f>IF(B15='Eingabe Immodaten'!$H$28,U15,0)</f>
        <v>0</v>
      </c>
      <c r="AJ15" s="44">
        <f t="shared" si="13"/>
        <v>14278.623525688759</v>
      </c>
      <c r="AK15" s="44">
        <f t="shared" si="14"/>
        <v>-1479.0624743112385</v>
      </c>
      <c r="AL15" s="48">
        <f t="shared" si="19"/>
        <v>-123.25520619260321</v>
      </c>
      <c r="AM15" s="44">
        <f t="shared" si="20"/>
        <v>-36711.495086875584</v>
      </c>
      <c r="AN15" s="44">
        <f>IF(B15=0,0,D15*(1+'Eingabe Immodaten'!$C$15/100))*'Eingabe Immodaten'!H22</f>
        <v>330509.48564941832</v>
      </c>
      <c r="AO15" s="44">
        <f>IF(D15=0,0,AN15-W15+Tabelle12[[#This Row],[Spalte36]])</f>
        <v>97271.018325226774</v>
      </c>
      <c r="AP15" s="44">
        <f>IF(B15='Eingabe Immodaten'!$H$28,Ergebnistabelle!D15*'Eingabe Immodaten'!$H$22,0)</f>
        <v>0</v>
      </c>
      <c r="AQ15" s="44">
        <f>IF(B15='Eingabe Immodaten'!$H$28,Ergebnistabelle!AM15,0)</f>
        <v>0</v>
      </c>
      <c r="AR15" s="44">
        <f>IF(B15='Eingabe Immodaten'!$H$28,Ergebnistabelle!AO15,0)</f>
        <v>0</v>
      </c>
      <c r="AS15" s="44">
        <f>IF(B15='Eingabe Immodaten'!$H$28,Ergebnistabelle!W15,0)</f>
        <v>0</v>
      </c>
      <c r="AT15" s="44">
        <f>IF(B15='Eingabe Immodaten'!$H$28,Ergebnistabelle!G15,0)</f>
        <v>0</v>
      </c>
      <c r="AU15" s="44">
        <f>IF(B15='Eingabe Immodaten'!$H$28,Ergebnistabelle!L15,0)</f>
        <v>0</v>
      </c>
      <c r="AV15" s="191"/>
      <c r="AW15" s="191"/>
      <c r="AX15" s="191"/>
      <c r="AY15" s="191"/>
      <c r="AZ15" s="191"/>
      <c r="BA15" s="191"/>
      <c r="BB15" s="191"/>
      <c r="BC15" s="191"/>
      <c r="BD15" s="191"/>
      <c r="BE15" s="191"/>
      <c r="BF15" s="191"/>
      <c r="BG15" s="191"/>
      <c r="BH15" s="191"/>
      <c r="BI15" s="191"/>
      <c r="BJ15" s="191"/>
      <c r="BK15" s="191"/>
      <c r="BL15" s="191"/>
      <c r="BM15" s="191"/>
    </row>
    <row r="16" spans="1:65">
      <c r="A16" s="191"/>
      <c r="B16" s="44">
        <f>IF(B15=0,0,IF(B15+1&gt;'Eingabe Immodaten'!$H$28,0,B15+1))</f>
        <v>10</v>
      </c>
      <c r="C16" s="49">
        <f t="shared" si="1"/>
        <v>1239.5345246377826</v>
      </c>
      <c r="D16" s="44">
        <f>IF(B16=0,0,D15*(1+'Eingabe Immodaten'!$C$15/100))</f>
        <v>14874.414295653391</v>
      </c>
      <c r="E16" s="44">
        <f t="shared" si="0"/>
        <v>130688.22415076634</v>
      </c>
      <c r="F16" s="44">
        <f>IF(B16=0,0,F15*(1+'Eingabe Immodaten'!$C$16/100))</f>
        <v>1456.9200254482912</v>
      </c>
      <c r="G16" s="44">
        <f t="shared" si="2"/>
        <v>13417.494270205099</v>
      </c>
      <c r="H16" s="44">
        <f>IF(B16=0,0,IF(B16&lt;='Eingabe Immodaten'!$C$28,'Eingabe Immodaten'!$C$32,'Eingabe Immodaten'!$C$34))</f>
        <v>15757.685999999998</v>
      </c>
      <c r="I16" s="44">
        <f>IF(B16=0,0,IF(B16&lt;='Eingabe Immodaten'!$H$6,'Eingabe Immodaten'!$H$9,'Eingabe Immodaten'!$H$11))</f>
        <v>0</v>
      </c>
      <c r="J16" s="44">
        <f t="shared" si="3"/>
        <v>15757.685999999998</v>
      </c>
      <c r="K16" s="44">
        <f t="shared" si="15"/>
        <v>0</v>
      </c>
      <c r="L16" s="44">
        <f t="shared" si="16"/>
        <v>15757.685999999998</v>
      </c>
      <c r="M16" s="46">
        <v>0</v>
      </c>
      <c r="N16" s="46"/>
      <c r="O16" s="47">
        <f>IF(B16=0,0,IF(B16&lt;='Eingabe Immodaten'!$C$28,'Eingabe Immodaten'!$C$30,'Eingabe Immodaten'!$C$33))</f>
        <v>4.3</v>
      </c>
      <c r="P16" s="44">
        <f t="shared" si="4"/>
        <v>8450.6598061617296</v>
      </c>
      <c r="Q16" s="44">
        <f t="shared" si="5"/>
        <v>7307.0261938382682</v>
      </c>
      <c r="R16" s="44">
        <f>IF(B16=0,0,IF(B16&lt;='Eingabe Immodaten'!$H$6,'Eingabe Immodaten'!$H$7,'Eingabe Immodaten'!$H$10))</f>
        <v>2.5299999999999998</v>
      </c>
      <c r="S16" s="44">
        <f t="shared" si="6"/>
        <v>2.5215651174412455E-8</v>
      </c>
      <c r="T16" s="44">
        <f t="shared" si="17"/>
        <v>-2.5215651174412455E-8</v>
      </c>
      <c r="U16" s="44">
        <f t="shared" si="7"/>
        <v>189219.94604258102</v>
      </c>
      <c r="V16" s="44">
        <f t="shared" si="8"/>
        <v>1.1218817054990153E-6</v>
      </c>
      <c r="W16" s="44">
        <f t="shared" si="9"/>
        <v>189219.94604370292</v>
      </c>
      <c r="X16" s="44">
        <f>IF(B16=0,0,'Eingabe Immodaten'!$H$14)</f>
        <v>215104.92000000004</v>
      </c>
      <c r="Y16" s="93">
        <f>IF(B16=0,0,IF(Z15=0,0,('Eingabe Immodaten'!$H$15)))</f>
        <v>3.5</v>
      </c>
      <c r="Z16" s="93">
        <f>IF(B16=0,0,IF(Z15+1&gt;99,0,Z15+Tabelle12[[#This Row],[Spalte23]]))</f>
        <v>35</v>
      </c>
      <c r="AA16" s="44">
        <f t="shared" si="10"/>
        <v>7528.6722000000018</v>
      </c>
      <c r="AB16" s="44">
        <f>IF(B16=0,0,IF(B16&lt;13,'Eingabe Immodaten'!$H$16,0))</f>
        <v>0</v>
      </c>
      <c r="AC16" s="47">
        <f t="shared" si="11"/>
        <v>7</v>
      </c>
      <c r="AD16" s="44">
        <f t="shared" si="18"/>
        <v>0</v>
      </c>
      <c r="AE16" s="44">
        <f>IF(B16=0,0,IF(B16&lt;='Eingabe Immodaten'!$C$28,IF('Eingabe Immodaten'!$C$29&gt;5,'Eingabe Immodaten'!$C$29/100*'Eingabe Immodaten'!$C$23/'Eingabe Immodaten'!$C$28,0),0))</f>
        <v>0</v>
      </c>
      <c r="AF16" s="44">
        <f>(G16-P16-S16-AA16-AD16)*'Eingabe Immodaten'!$H$19</f>
        <v>-999.11671703292063</v>
      </c>
      <c r="AG16" s="44">
        <f t="shared" si="12"/>
        <v>-1341.0750127619776</v>
      </c>
      <c r="AH16" s="44"/>
      <c r="AI16" s="44">
        <f>IF(B16='Eingabe Immodaten'!$H$28,U16,0)</f>
        <v>0</v>
      </c>
      <c r="AJ16" s="44">
        <f t="shared" si="13"/>
        <v>14416.61098723802</v>
      </c>
      <c r="AK16" s="44">
        <f t="shared" si="14"/>
        <v>-1341.0750127619776</v>
      </c>
      <c r="AL16" s="48">
        <f t="shared" si="19"/>
        <v>-111.75625106349814</v>
      </c>
      <c r="AM16" s="44">
        <f t="shared" si="20"/>
        <v>-38052.57009963756</v>
      </c>
      <c r="AN16" s="44">
        <f>IF(B16=0,0,D16*(1+'Eingabe Immodaten'!$C$15/100))*'Eingabe Immodaten'!H22</f>
        <v>340424.77021890087</v>
      </c>
      <c r="AO16" s="44">
        <f>IF(D16=0,0,AN16-W16+Tabelle12[[#This Row],[Spalte36]])</f>
        <v>113152.2540755604</v>
      </c>
      <c r="AP16" s="44">
        <f>IF(B16='Eingabe Immodaten'!$H$28,Ergebnistabelle!D16*'Eingabe Immodaten'!$H$22,0)</f>
        <v>0</v>
      </c>
      <c r="AQ16" s="44">
        <f>IF(B16='Eingabe Immodaten'!$H$28,Ergebnistabelle!AM16,0)</f>
        <v>0</v>
      </c>
      <c r="AR16" s="44">
        <f>IF(B16='Eingabe Immodaten'!$H$28,Ergebnistabelle!AO16,0)</f>
        <v>0</v>
      </c>
      <c r="AS16" s="44">
        <f>IF(B16='Eingabe Immodaten'!$H$28,Ergebnistabelle!W16,0)</f>
        <v>0</v>
      </c>
      <c r="AT16" s="44">
        <f>IF(B16='Eingabe Immodaten'!$H$28,Ergebnistabelle!G16,0)</f>
        <v>0</v>
      </c>
      <c r="AU16" s="44">
        <f>IF(B16='Eingabe Immodaten'!$H$28,Ergebnistabelle!L16,0)</f>
        <v>0</v>
      </c>
      <c r="AV16" s="191"/>
      <c r="AW16" s="191"/>
      <c r="AX16" s="191"/>
      <c r="AY16" s="191"/>
      <c r="AZ16" s="191"/>
      <c r="BA16" s="191"/>
      <c r="BB16" s="191"/>
      <c r="BC16" s="191"/>
      <c r="BD16" s="191"/>
      <c r="BE16" s="191"/>
      <c r="BF16" s="191"/>
      <c r="BG16" s="191"/>
      <c r="BH16" s="191"/>
      <c r="BI16" s="191"/>
      <c r="BJ16" s="191"/>
      <c r="BK16" s="191"/>
      <c r="BL16" s="191"/>
      <c r="BM16" s="191"/>
    </row>
    <row r="17" spans="1:65">
      <c r="A17" s="191"/>
      <c r="B17" s="45">
        <f>IF(B16=0,0,IF(B16+1&gt;'Eingabe Immodaten'!$H$28,0,B16+1))</f>
        <v>11</v>
      </c>
      <c r="C17" s="49">
        <f t="shared" si="1"/>
        <v>1276.720560376916</v>
      </c>
      <c r="D17" s="44">
        <f>IF(B17=0,0,D16*(1+'Eingabe Immodaten'!$C$15/100))</f>
        <v>15320.646724522992</v>
      </c>
      <c r="E17" s="44">
        <f t="shared" si="0"/>
        <v>146008.87087528934</v>
      </c>
      <c r="F17" s="44">
        <f>IF(B17=0,0,F16*(1+'Eingabe Immodaten'!$C$16/100))</f>
        <v>1471.4892257027741</v>
      </c>
      <c r="G17" s="44">
        <f t="shared" si="2"/>
        <v>13849.157498820219</v>
      </c>
      <c r="H17" s="44">
        <f>IF(B17=0,0,IF(B17&lt;='Eingabe Immodaten'!$C$28,'Eingabe Immodaten'!$C$32,'Eingabe Immodaten'!$C$34))</f>
        <v>15907.759200000002</v>
      </c>
      <c r="I17" s="44">
        <f>IF(B17=0,0,IF(B17&lt;='Eingabe Immodaten'!$H$6,'Eingabe Immodaten'!$H$9,'Eingabe Immodaten'!$H$11))</f>
        <v>0</v>
      </c>
      <c r="J17" s="44">
        <f t="shared" si="3"/>
        <v>15907.759200000002</v>
      </c>
      <c r="K17" s="44">
        <f t="shared" si="15"/>
        <v>0</v>
      </c>
      <c r="L17" s="44">
        <f t="shared" si="16"/>
        <v>15907.759200000002</v>
      </c>
      <c r="M17" s="46"/>
      <c r="N17" s="46"/>
      <c r="O17" s="47">
        <f>IF(B17=0,0,IF(B17&lt;='Eingabe Immodaten'!$C$28,'Eingabe Immodaten'!$C$30,'Eingabe Immodaten'!$C$33))</f>
        <v>4.3600000000000003</v>
      </c>
      <c r="P17" s="44">
        <f t="shared" si="4"/>
        <v>8249.9896474565339</v>
      </c>
      <c r="Q17" s="44">
        <f t="shared" si="5"/>
        <v>7657.7695525434683</v>
      </c>
      <c r="R17" s="44">
        <f>IF(B17=0,0,IF(B17&lt;='Eingabe Immodaten'!$H$6,'Eingabe Immodaten'!$H$7,'Eingabe Immodaten'!$H$10))</f>
        <v>2.5299999999999998</v>
      </c>
      <c r="S17" s="44">
        <f t="shared" si="6"/>
        <v>2.8383607149125085E-8</v>
      </c>
      <c r="T17" s="44">
        <f t="shared" si="17"/>
        <v>-2.8383607149125085E-8</v>
      </c>
      <c r="U17" s="44">
        <f t="shared" si="7"/>
        <v>181562.17649013756</v>
      </c>
      <c r="V17" s="44">
        <f t="shared" si="8"/>
        <v>1.2502653126481404E-6</v>
      </c>
      <c r="W17" s="44">
        <f t="shared" si="9"/>
        <v>181562.17649138783</v>
      </c>
      <c r="X17" s="44">
        <f>IF(B17=0,0,'Eingabe Immodaten'!$H$14)</f>
        <v>215104.92000000004</v>
      </c>
      <c r="Y17" s="93">
        <f>IF(B17=0,0,IF(Z16=0,0,('Eingabe Immodaten'!$H$15)))</f>
        <v>3.5</v>
      </c>
      <c r="Z17" s="93">
        <f>IF(B17=0,0,IF(Z16+1&gt;99,0,Z16+Tabelle12[[#This Row],[Spalte23]]))</f>
        <v>38.5</v>
      </c>
      <c r="AA17" s="44">
        <f t="shared" si="10"/>
        <v>7528.6722000000018</v>
      </c>
      <c r="AB17" s="44">
        <f>IF(B17=0,0,IF(B17&lt;13,'Eingabe Immodaten'!$H$16,0))</f>
        <v>0</v>
      </c>
      <c r="AC17" s="47">
        <f t="shared" si="11"/>
        <v>7</v>
      </c>
      <c r="AD17" s="44">
        <f t="shared" si="18"/>
        <v>0</v>
      </c>
      <c r="AE17" s="44">
        <f>IF(B17=0,0,IF(B17&lt;='Eingabe Immodaten'!$C$28,IF('Eingabe Immodaten'!$C$29&gt;5,'Eingabe Immodaten'!$C$29/100*'Eingabe Immodaten'!$C$23/'Eingabe Immodaten'!$C$28,0),0))</f>
        <v>0</v>
      </c>
      <c r="AF17" s="44">
        <f>(G17-P17-S17-AA17-AD17)*'Eingabe Immodaten'!$H$19</f>
        <v>-752.50669597923309</v>
      </c>
      <c r="AG17" s="44">
        <f t="shared" si="12"/>
        <v>-1306.0950052005501</v>
      </c>
      <c r="AH17" s="44"/>
      <c r="AI17" s="44">
        <f>IF(B17='Eingabe Immodaten'!$H$28,U17,0)</f>
        <v>0</v>
      </c>
      <c r="AJ17" s="44">
        <f t="shared" si="13"/>
        <v>14601.664194799452</v>
      </c>
      <c r="AK17" s="44">
        <f t="shared" si="14"/>
        <v>-1306.0950052005501</v>
      </c>
      <c r="AL17" s="48">
        <f t="shared" si="19"/>
        <v>-108.84125043337917</v>
      </c>
      <c r="AM17" s="44">
        <f t="shared" si="20"/>
        <v>-39358.66510483811</v>
      </c>
      <c r="AN17" s="44">
        <f>IF(B17=0,0,D17*(1+'Eingabe Immodaten'!$C$15/100))*'Eingabe Immodaten'!H22</f>
        <v>350637.51332546788</v>
      </c>
      <c r="AO17" s="44">
        <f>IF(D17=0,0,AN17-W17+Tabelle12[[#This Row],[Spalte36]])</f>
        <v>129716.67172924193</v>
      </c>
      <c r="AP17" s="44">
        <f>IF(B17='Eingabe Immodaten'!$H$28,Ergebnistabelle!D17*'Eingabe Immodaten'!$H$22,0)</f>
        <v>0</v>
      </c>
      <c r="AQ17" s="44">
        <f>IF(B17='Eingabe Immodaten'!$H$28,Ergebnistabelle!AM17,0)</f>
        <v>0</v>
      </c>
      <c r="AR17" s="44">
        <f>IF(B17='Eingabe Immodaten'!$H$28,Ergebnistabelle!AO17,0)</f>
        <v>0</v>
      </c>
      <c r="AS17" s="44">
        <f>IF(B17='Eingabe Immodaten'!$H$28,Ergebnistabelle!W17,0)</f>
        <v>0</v>
      </c>
      <c r="AT17" s="44">
        <f>IF(B17='Eingabe Immodaten'!$H$28,Ergebnistabelle!G17,0)</f>
        <v>0</v>
      </c>
      <c r="AU17" s="44">
        <f>IF(B17='Eingabe Immodaten'!$H$28,Ergebnistabelle!L17,0)</f>
        <v>0</v>
      </c>
      <c r="AV17" s="191"/>
      <c r="AW17" s="191"/>
      <c r="AX17" s="191"/>
      <c r="AY17" s="191"/>
      <c r="AZ17" s="191"/>
      <c r="BA17" s="191"/>
      <c r="BB17" s="191"/>
      <c r="BC17" s="191"/>
      <c r="BD17" s="191"/>
      <c r="BE17" s="191"/>
      <c r="BF17" s="191"/>
      <c r="BG17" s="191"/>
      <c r="BH17" s="191"/>
      <c r="BI17" s="191"/>
      <c r="BJ17" s="191"/>
      <c r="BK17" s="191"/>
      <c r="BL17" s="191"/>
      <c r="BM17" s="191"/>
    </row>
    <row r="18" spans="1:65">
      <c r="A18" s="191"/>
      <c r="B18" s="45">
        <f>IF(B17=0,0,IF(B17+1&gt;'Eingabe Immodaten'!$H$28,0,B17+1))</f>
        <v>12</v>
      </c>
      <c r="C18" s="49">
        <f t="shared" si="1"/>
        <v>1315.0221771882236</v>
      </c>
      <c r="D18" s="44">
        <f>IF(B18=0,0,D17*(1+'Eingabe Immodaten'!$C$15/100))</f>
        <v>15780.266126258683</v>
      </c>
      <c r="E18" s="44">
        <f t="shared" si="0"/>
        <v>161789.13700154802</v>
      </c>
      <c r="F18" s="44">
        <f>IF(B18=0,0,F17*(1+'Eingabe Immodaten'!$C$16/100))</f>
        <v>1486.2041179598018</v>
      </c>
      <c r="G18" s="44">
        <f t="shared" si="2"/>
        <v>14294.062008298881</v>
      </c>
      <c r="H18" s="44">
        <f>IF(B18=0,0,IF(B18&lt;='Eingabe Immodaten'!$C$28,'Eingabe Immodaten'!$C$32,'Eingabe Immodaten'!$C$34))</f>
        <v>15907.759200000002</v>
      </c>
      <c r="I18" s="44">
        <f>IF(B18=0,0,IF(B18&lt;='Eingabe Immodaten'!$H$6,'Eingabe Immodaten'!$H$9,'Eingabe Immodaten'!$H$11))</f>
        <v>0</v>
      </c>
      <c r="J18" s="44">
        <f t="shared" si="3"/>
        <v>15907.759200000002</v>
      </c>
      <c r="K18" s="44">
        <f t="shared" si="15"/>
        <v>0</v>
      </c>
      <c r="L18" s="44">
        <f t="shared" si="16"/>
        <v>15907.759200000002</v>
      </c>
      <c r="M18" s="46"/>
      <c r="N18" s="46"/>
      <c r="O18" s="47">
        <f>IF(B18=0,0,IF(B18&lt;='Eingabe Immodaten'!$C$28,'Eingabe Immodaten'!$C$30,'Eingabe Immodaten'!$C$33))</f>
        <v>4.3600000000000003</v>
      </c>
      <c r="P18" s="44">
        <f t="shared" si="4"/>
        <v>7916.1108949699983</v>
      </c>
      <c r="Q18" s="44">
        <f t="shared" si="5"/>
        <v>7991.6483050300039</v>
      </c>
      <c r="R18" s="44">
        <f>IF(B18=0,0,IF(B18&lt;='Eingabe Immodaten'!$H$6,'Eingabe Immodaten'!$H$7,'Eingabe Immodaten'!$H$10))</f>
        <v>2.5299999999999998</v>
      </c>
      <c r="S18" s="44">
        <f t="shared" si="6"/>
        <v>3.1631712409997949E-8</v>
      </c>
      <c r="T18" s="44">
        <f t="shared" si="17"/>
        <v>-3.1631712409997949E-8</v>
      </c>
      <c r="U18" s="44">
        <f t="shared" si="7"/>
        <v>173570.52818520754</v>
      </c>
      <c r="V18" s="44">
        <f t="shared" si="8"/>
        <v>1.3818970250581382E-6</v>
      </c>
      <c r="W18" s="44">
        <f t="shared" si="9"/>
        <v>173570.52818658945</v>
      </c>
      <c r="X18" s="44">
        <f>IF(B18=0,0,'Eingabe Immodaten'!$H$14)</f>
        <v>215104.92000000004</v>
      </c>
      <c r="Y18" s="93">
        <f>IF(B18=0,0,IF(Z17=0,0,('Eingabe Immodaten'!$H$15)))</f>
        <v>3.5</v>
      </c>
      <c r="Z18" s="93">
        <f>IF(B18=0,0,IF(Z17+1&gt;99,0,Z17+Tabelle12[[#This Row],[Spalte23]]))</f>
        <v>42</v>
      </c>
      <c r="AA18" s="44">
        <f t="shared" si="10"/>
        <v>7528.6722000000018</v>
      </c>
      <c r="AB18" s="44">
        <f>IF(B18=0,0,IF(B18&lt;13,'Eingabe Immodaten'!$H$16,0))</f>
        <v>0</v>
      </c>
      <c r="AC18" s="47">
        <f t="shared" si="11"/>
        <v>7</v>
      </c>
      <c r="AD18" s="44">
        <f t="shared" si="18"/>
        <v>0</v>
      </c>
      <c r="AE18" s="44">
        <f>IF(B18=0,0,IF(B18&lt;='Eingabe Immodaten'!$C$28,IF('Eingabe Immodaten'!$C$29&gt;5,'Eingabe Immodaten'!$C$29/100*'Eingabe Immodaten'!$C$23/'Eingabe Immodaten'!$C$28,0),0))</f>
        <v>0</v>
      </c>
      <c r="AF18" s="44">
        <f>(G18-P18-S18-AA18-AD18)*'Eingabe Immodaten'!$H$19</f>
        <v>-448.78122381407275</v>
      </c>
      <c r="AG18" s="44">
        <f t="shared" si="12"/>
        <v>-1164.9159678870492</v>
      </c>
      <c r="AH18" s="44"/>
      <c r="AI18" s="44">
        <f>IF(B18='Eingabe Immodaten'!$H$28,U18,0)</f>
        <v>0</v>
      </c>
      <c r="AJ18" s="44">
        <f t="shared" si="13"/>
        <v>14742.843232112953</v>
      </c>
      <c r="AK18" s="44">
        <f t="shared" si="14"/>
        <v>-1164.9159678870492</v>
      </c>
      <c r="AL18" s="48">
        <f t="shared" si="19"/>
        <v>-97.076330657254104</v>
      </c>
      <c r="AM18" s="44">
        <f t="shared" si="20"/>
        <v>-40523.581072725159</v>
      </c>
      <c r="AN18" s="44">
        <f>IF(B18=0,0,D18*(1+'Eingabe Immodaten'!$C$15/100))*'Eingabe Immodaten'!H22</f>
        <v>361156.63872523198</v>
      </c>
      <c r="AO18" s="44">
        <f>IF(D18=0,0,AN18-W18+Tabelle12[[#This Row],[Spalte36]])</f>
        <v>147062.52946591738</v>
      </c>
      <c r="AP18" s="44">
        <f>IF(B18='Eingabe Immodaten'!$H$28,Ergebnistabelle!D18*'Eingabe Immodaten'!$H$22,0)</f>
        <v>0</v>
      </c>
      <c r="AQ18" s="44">
        <f>IF(B18='Eingabe Immodaten'!$H$28,Ergebnistabelle!AM18,0)</f>
        <v>0</v>
      </c>
      <c r="AR18" s="44">
        <f>IF(B18='Eingabe Immodaten'!$H$28,Ergebnistabelle!AO18,0)</f>
        <v>0</v>
      </c>
      <c r="AS18" s="44">
        <f>IF(B18='Eingabe Immodaten'!$H$28,Ergebnistabelle!W18,0)</f>
        <v>0</v>
      </c>
      <c r="AT18" s="44">
        <f>IF(B18='Eingabe Immodaten'!$H$28,Ergebnistabelle!G18,0)</f>
        <v>0</v>
      </c>
      <c r="AU18" s="44">
        <f>IF(B18='Eingabe Immodaten'!$H$28,Ergebnistabelle!L18,0)</f>
        <v>0</v>
      </c>
      <c r="AV18" s="191"/>
      <c r="AW18" s="191"/>
      <c r="AX18" s="191"/>
      <c r="AY18" s="191"/>
      <c r="AZ18" s="191"/>
      <c r="BA18" s="191"/>
      <c r="BB18" s="191"/>
      <c r="BC18" s="191"/>
      <c r="BD18" s="191"/>
      <c r="BE18" s="191"/>
      <c r="BF18" s="191"/>
      <c r="BG18" s="191"/>
      <c r="BH18" s="191"/>
      <c r="BI18" s="191"/>
      <c r="BJ18" s="191"/>
      <c r="BK18" s="191"/>
      <c r="BL18" s="191"/>
      <c r="BM18" s="191"/>
    </row>
    <row r="19" spans="1:65">
      <c r="A19" s="191"/>
      <c r="B19" s="45">
        <f>IF(B18=0,0,IF(B18+1&gt;'Eingabe Immodaten'!$H$28,0,B18+1))</f>
        <v>13</v>
      </c>
      <c r="C19" s="49">
        <f t="shared" si="1"/>
        <v>1354.4728425038704</v>
      </c>
      <c r="D19" s="44">
        <f>IF(B19=0,0,D18*(1+'Eingabe Immodaten'!$C$15/100))</f>
        <v>16253.674110046444</v>
      </c>
      <c r="E19" s="44">
        <f t="shared" si="0"/>
        <v>178042.81111159446</v>
      </c>
      <c r="F19" s="44">
        <f>IF(B19=0,0,F18*(1+'Eingabe Immodaten'!$C$16/100))</f>
        <v>1501.0661591393998</v>
      </c>
      <c r="G19" s="44">
        <f t="shared" si="2"/>
        <v>14752.607950907044</v>
      </c>
      <c r="H19" s="44">
        <f>IF(B19=0,0,IF(B19&lt;='Eingabe Immodaten'!$C$28,'Eingabe Immodaten'!$C$32,'Eingabe Immodaten'!$C$34))</f>
        <v>15907.759200000002</v>
      </c>
      <c r="I19" s="44">
        <f>IF(B19=0,0,IF(B19&lt;='Eingabe Immodaten'!$H$6,'Eingabe Immodaten'!$H$9,'Eingabe Immodaten'!$H$11))</f>
        <v>0</v>
      </c>
      <c r="J19" s="44">
        <f t="shared" si="3"/>
        <v>15907.759200000002</v>
      </c>
      <c r="K19" s="44">
        <f t="shared" si="15"/>
        <v>0</v>
      </c>
      <c r="L19" s="44">
        <f t="shared" si="16"/>
        <v>15907.759200000002</v>
      </c>
      <c r="M19" s="46"/>
      <c r="N19" s="46"/>
      <c r="O19" s="47">
        <f>IF(B19=0,0,IF(B19&lt;='Eingabe Immodaten'!$C$28,'Eingabe Immodaten'!$C$30,'Eingabe Immodaten'!$C$33))</f>
        <v>4.3600000000000003</v>
      </c>
      <c r="P19" s="44">
        <f t="shared" si="4"/>
        <v>7567.67502887505</v>
      </c>
      <c r="Q19" s="44">
        <f t="shared" si="5"/>
        <v>8340.0841711249523</v>
      </c>
      <c r="R19" s="44">
        <f>IF(B19=0,0,IF(B19&lt;='Eingabe Immodaten'!$H$6,'Eingabe Immodaten'!$H$7,'Eingabe Immodaten'!$H$10))</f>
        <v>2.5299999999999998</v>
      </c>
      <c r="S19" s="44">
        <f t="shared" si="6"/>
        <v>3.4961994733970894E-8</v>
      </c>
      <c r="T19" s="44">
        <f t="shared" si="17"/>
        <v>-3.4961994733970894E-8</v>
      </c>
      <c r="U19" s="44">
        <f t="shared" si="7"/>
        <v>165230.44401418261</v>
      </c>
      <c r="V19" s="44">
        <f t="shared" si="8"/>
        <v>1.5168590197921091E-6</v>
      </c>
      <c r="W19" s="44">
        <f t="shared" si="9"/>
        <v>165230.44401569947</v>
      </c>
      <c r="X19" s="44">
        <f>IF(B19=0,0,'Eingabe Immodaten'!$H$14)</f>
        <v>215104.92000000004</v>
      </c>
      <c r="Y19" s="93">
        <f>IF(B19=0,0,IF(Z18=0,0,('Eingabe Immodaten'!$H$15)))</f>
        <v>3.5</v>
      </c>
      <c r="Z19" s="93">
        <f>IF(B19=0,0,IF(Z18+1&gt;99,0,Z18+Tabelle12[[#This Row],[Spalte23]]))</f>
        <v>45.5</v>
      </c>
      <c r="AA19" s="44">
        <f t="shared" si="10"/>
        <v>7528.6722000000018</v>
      </c>
      <c r="AB19" s="44">
        <f>IF(B19=0,0,IF(B19&lt;13,'Eingabe Immodaten'!$H$16,0))</f>
        <v>0</v>
      </c>
      <c r="AC19" s="44">
        <f t="shared" si="11"/>
        <v>0</v>
      </c>
      <c r="AD19" s="44">
        <f t="shared" si="18"/>
        <v>0</v>
      </c>
      <c r="AE19" s="44">
        <f>IF(B19=0,0,IF(B19&lt;='Eingabe Immodaten'!$C$28,IF('Eingabe Immodaten'!$C$29&gt;5,'Eingabe Immodaten'!$C$29/100*'Eingabe Immodaten'!$C$23/'Eingabe Immodaten'!$C$28,0),0))</f>
        <v>0</v>
      </c>
      <c r="AF19" s="44">
        <f>(G19-P19-S19-AA19-AD19)*'Eingabe Immodaten'!$H$19</f>
        <v>-134.05831842115811</v>
      </c>
      <c r="AG19" s="44">
        <f t="shared" si="12"/>
        <v>-1021.0929306718008</v>
      </c>
      <c r="AH19" s="44"/>
      <c r="AI19" s="44">
        <f>IF(B19='Eingabe Immodaten'!$H$28,U19,0)</f>
        <v>0</v>
      </c>
      <c r="AJ19" s="44">
        <f t="shared" si="13"/>
        <v>14886.666269328201</v>
      </c>
      <c r="AK19" s="44">
        <f t="shared" si="14"/>
        <v>-1021.0929306718008</v>
      </c>
      <c r="AL19" s="48">
        <f t="shared" si="19"/>
        <v>-85.091077555983404</v>
      </c>
      <c r="AM19" s="44">
        <f t="shared" si="20"/>
        <v>-41544.674003396962</v>
      </c>
      <c r="AN19" s="44">
        <f>IF(B19=0,0,D19*(1+'Eingabe Immodaten'!$C$15/100))*'Eingabe Immodaten'!H22</f>
        <v>371991.33788698894</v>
      </c>
      <c r="AO19" s="44">
        <f>IF(D19=0,0,AN19-W19+Tabelle12[[#This Row],[Spalte36]])</f>
        <v>165216.21986789251</v>
      </c>
      <c r="AP19" s="44">
        <f>IF(B19='Eingabe Immodaten'!$H$28,Ergebnistabelle!D19*'Eingabe Immodaten'!$H$22,0)</f>
        <v>0</v>
      </c>
      <c r="AQ19" s="44">
        <f>IF(B19='Eingabe Immodaten'!$H$28,Ergebnistabelle!AM19,0)</f>
        <v>0</v>
      </c>
      <c r="AR19" s="44">
        <f>IF(B19='Eingabe Immodaten'!$H$28,Ergebnistabelle!AO19,0)</f>
        <v>0</v>
      </c>
      <c r="AS19" s="44">
        <f>IF(B19='Eingabe Immodaten'!$H$28,Ergebnistabelle!W19,0)</f>
        <v>0</v>
      </c>
      <c r="AT19" s="44">
        <f>IF(B19='Eingabe Immodaten'!$H$28,Ergebnistabelle!G19,0)</f>
        <v>0</v>
      </c>
      <c r="AU19" s="44">
        <f>IF(B19='Eingabe Immodaten'!$H$28,Ergebnistabelle!L19,0)</f>
        <v>0</v>
      </c>
      <c r="AV19" s="191"/>
      <c r="AW19" s="191"/>
      <c r="AX19" s="191"/>
      <c r="AY19" s="191"/>
      <c r="AZ19" s="191"/>
      <c r="BA19" s="191"/>
      <c r="BB19" s="191"/>
      <c r="BC19" s="191"/>
      <c r="BD19" s="191"/>
      <c r="BE19" s="191"/>
      <c r="BF19" s="191"/>
      <c r="BG19" s="191"/>
      <c r="BH19" s="191"/>
      <c r="BI19" s="191"/>
      <c r="BJ19" s="191"/>
      <c r="BK19" s="191"/>
      <c r="BL19" s="191"/>
      <c r="BM19" s="191"/>
    </row>
    <row r="20" spans="1:65">
      <c r="A20" s="191"/>
      <c r="B20" s="45">
        <f>IF(B19=0,0,IF(B19+1&gt;'Eingabe Immodaten'!$H$28,0,B19+1))</f>
        <v>14</v>
      </c>
      <c r="C20" s="49">
        <f t="shared" si="1"/>
        <v>1395.1070277789865</v>
      </c>
      <c r="D20" s="44">
        <f>IF(B20=0,0,D19*(1+'Eingabe Immodaten'!$C$15/100))</f>
        <v>16741.284333347838</v>
      </c>
      <c r="E20" s="44">
        <f t="shared" si="0"/>
        <v>194784.0954449423</v>
      </c>
      <c r="F20" s="44">
        <f>IF(B20=0,0,F19*(1+'Eingabe Immodaten'!$C$16/100))</f>
        <v>1516.0768207307938</v>
      </c>
      <c r="G20" s="44">
        <f t="shared" si="2"/>
        <v>15225.207512617044</v>
      </c>
      <c r="H20" s="44">
        <f>IF(B20=0,0,IF(B20&lt;='Eingabe Immodaten'!$C$28,'Eingabe Immodaten'!$C$32,'Eingabe Immodaten'!$C$34))</f>
        <v>15907.759200000002</v>
      </c>
      <c r="I20" s="44">
        <f>IF(B20=0,0,IF(B20&lt;='Eingabe Immodaten'!$H$6,'Eingabe Immodaten'!$H$9,'Eingabe Immodaten'!$H$11))</f>
        <v>0</v>
      </c>
      <c r="J20" s="44">
        <f t="shared" si="3"/>
        <v>15907.759200000002</v>
      </c>
      <c r="K20" s="44">
        <f t="shared" si="15"/>
        <v>0</v>
      </c>
      <c r="L20" s="44">
        <f t="shared" si="16"/>
        <v>15907.759200000002</v>
      </c>
      <c r="M20" s="46">
        <v>0</v>
      </c>
      <c r="N20" s="46"/>
      <c r="O20" s="47">
        <f>IF(B20=0,0,IF(B20&lt;='Eingabe Immodaten'!$C$28,'Eingabe Immodaten'!$C$30,'Eingabe Immodaten'!$C$33))</f>
        <v>4.3600000000000003</v>
      </c>
      <c r="P20" s="44">
        <f t="shared" si="4"/>
        <v>7204.0473590183619</v>
      </c>
      <c r="Q20" s="44">
        <f t="shared" si="5"/>
        <v>8703.7118409816394</v>
      </c>
      <c r="R20" s="44">
        <f>IF(B20=0,0,IF(B20&lt;='Eingabe Immodaten'!$H$6,'Eingabe Immodaten'!$H$7,'Eingabe Immodaten'!$H$10))</f>
        <v>2.5299999999999998</v>
      </c>
      <c r="S20" s="44">
        <f t="shared" si="6"/>
        <v>3.8376533200740357E-8</v>
      </c>
      <c r="T20" s="44">
        <f t="shared" si="17"/>
        <v>-3.8376533200740357E-8</v>
      </c>
      <c r="U20" s="44">
        <f t="shared" si="7"/>
        <v>156526.73217330096</v>
      </c>
      <c r="V20" s="44">
        <f t="shared" si="8"/>
        <v>1.6552355529928493E-6</v>
      </c>
      <c r="W20" s="44">
        <f t="shared" si="9"/>
        <v>156526.73217495618</v>
      </c>
      <c r="X20" s="44">
        <f>IF(B20=0,0,'Eingabe Immodaten'!$H$14)</f>
        <v>215104.92000000004</v>
      </c>
      <c r="Y20" s="93">
        <f>IF(B20=0,0,IF(Z19=0,0,('Eingabe Immodaten'!$H$15)))</f>
        <v>3.5</v>
      </c>
      <c r="Z20" s="93">
        <f>IF(B20=0,0,IF(Z19+1&gt;99,0,Z19+Tabelle12[[#This Row],[Spalte23]]))</f>
        <v>49</v>
      </c>
      <c r="AA20" s="44">
        <f t="shared" si="10"/>
        <v>7528.6722000000018</v>
      </c>
      <c r="AB20" s="44">
        <f>IF(B20=0,0,IF(B20&lt;13,'Eingabe Immodaten'!$H$16,0))</f>
        <v>0</v>
      </c>
      <c r="AC20" s="44">
        <f t="shared" si="11"/>
        <v>0</v>
      </c>
      <c r="AD20" s="44">
        <f t="shared" si="18"/>
        <v>0</v>
      </c>
      <c r="AE20" s="44">
        <f>IF(B20=0,0,IF(B20&lt;='Eingabe Immodaten'!$C$28,IF('Eingabe Immodaten'!$C$29&gt;5,'Eingabe Immodaten'!$C$29/100*'Eingabe Immodaten'!$C$23/'Eingabe Immodaten'!$C$28,0),0))</f>
        <v>0</v>
      </c>
      <c r="AF20" s="44">
        <f>(G20-P20-S20-AA20-AD20)*'Eingabe Immodaten'!$H$19</f>
        <v>192.0703018885186</v>
      </c>
      <c r="AG20" s="44">
        <f t="shared" si="12"/>
        <v>-874.6219892714762</v>
      </c>
      <c r="AH20" s="44"/>
      <c r="AI20" s="44">
        <f>IF(B20='Eingabe Immodaten'!$H$28,U20,0)</f>
        <v>0</v>
      </c>
      <c r="AJ20" s="44">
        <f t="shared" si="13"/>
        <v>15033.137210728526</v>
      </c>
      <c r="AK20" s="44">
        <f t="shared" si="14"/>
        <v>-874.6219892714762</v>
      </c>
      <c r="AL20" s="48">
        <f t="shared" si="19"/>
        <v>-72.885165772623012</v>
      </c>
      <c r="AM20" s="44">
        <f t="shared" si="20"/>
        <v>-42419.295992668442</v>
      </c>
      <c r="AN20" s="44">
        <f>IF(B20=0,0,D20*(1+'Eingabe Immodaten'!$C$15/100))*'Eingabe Immodaten'!H22</f>
        <v>383151.07802359859</v>
      </c>
      <c r="AO20" s="44">
        <f>IF(D20=0,0,AN20-W20+Tabelle12[[#This Row],[Spalte36]])</f>
        <v>184205.04985597398</v>
      </c>
      <c r="AP20" s="44">
        <f>IF(B20='Eingabe Immodaten'!$H$28,Ergebnistabelle!D20*'Eingabe Immodaten'!$H$22,0)</f>
        <v>0</v>
      </c>
      <c r="AQ20" s="44">
        <f>IF(B20='Eingabe Immodaten'!$H$28,Ergebnistabelle!AM20,0)</f>
        <v>0</v>
      </c>
      <c r="AR20" s="44">
        <f>IF(B20='Eingabe Immodaten'!$H$28,Ergebnistabelle!AO20,0)</f>
        <v>0</v>
      </c>
      <c r="AS20" s="44">
        <f>IF(B20='Eingabe Immodaten'!$H$28,Ergebnistabelle!W20,0)</f>
        <v>0</v>
      </c>
      <c r="AT20" s="44">
        <f>IF(B20='Eingabe Immodaten'!$H$28,Ergebnistabelle!G20,0)</f>
        <v>0</v>
      </c>
      <c r="AU20" s="44">
        <f>IF(B20='Eingabe Immodaten'!$H$28,Ergebnistabelle!L20,0)</f>
        <v>0</v>
      </c>
      <c r="AV20" s="191"/>
      <c r="AW20" s="191"/>
      <c r="AX20" s="191"/>
      <c r="AY20" s="191"/>
      <c r="AZ20" s="191"/>
      <c r="BA20" s="191"/>
      <c r="BB20" s="191"/>
      <c r="BC20" s="191"/>
      <c r="BD20" s="191"/>
      <c r="BE20" s="191"/>
      <c r="BF20" s="191"/>
      <c r="BG20" s="191"/>
      <c r="BH20" s="191"/>
      <c r="BI20" s="191"/>
      <c r="BJ20" s="191"/>
      <c r="BK20" s="191"/>
      <c r="BL20" s="191"/>
      <c r="BM20" s="191"/>
    </row>
    <row r="21" spans="1:65">
      <c r="A21" s="191"/>
      <c r="B21" s="45">
        <f>IF(B20=0,0,IF(B20+1&gt;'Eingabe Immodaten'!$H$28,0,B20+1))</f>
        <v>15</v>
      </c>
      <c r="C21" s="49">
        <f t="shared" si="1"/>
        <v>1436.9602386123561</v>
      </c>
      <c r="D21" s="44">
        <f>IF(B21=0,0,D20*(1+'Eingabe Immodaten'!$C$15/100))</f>
        <v>17243.522863348273</v>
      </c>
      <c r="E21" s="44">
        <f t="shared" si="0"/>
        <v>212027.61830829058</v>
      </c>
      <c r="F21" s="44">
        <f>IF(B21=0,0,F20*(1+'Eingabe Immodaten'!$C$16/100))</f>
        <v>1531.2375889381017</v>
      </c>
      <c r="G21" s="44">
        <f t="shared" si="2"/>
        <v>15712.285274410171</v>
      </c>
      <c r="H21" s="44">
        <f>IF(B21=0,0,IF(B21&lt;='Eingabe Immodaten'!$C$28,'Eingabe Immodaten'!$C$32,'Eingabe Immodaten'!$C$34))</f>
        <v>15907.759200000002</v>
      </c>
      <c r="I21" s="44">
        <f>IF(B21=0,0,IF(B21&lt;='Eingabe Immodaten'!$H$6,'Eingabe Immodaten'!$H$9,'Eingabe Immodaten'!$H$11))</f>
        <v>0</v>
      </c>
      <c r="J21" s="44">
        <f t="shared" si="3"/>
        <v>15907.759200000002</v>
      </c>
      <c r="K21" s="44">
        <f t="shared" si="15"/>
        <v>0</v>
      </c>
      <c r="L21" s="44">
        <f t="shared" si="16"/>
        <v>15907.759200000002</v>
      </c>
      <c r="M21" s="46"/>
      <c r="N21" s="46"/>
      <c r="O21" s="47">
        <f>IF(B21=0,0,IF(B21&lt;='Eingabe Immodaten'!$C$28,'Eingabe Immodaten'!$C$30,'Eingabe Immodaten'!$C$33))</f>
        <v>4.3600000000000003</v>
      </c>
      <c r="P21" s="44">
        <f t="shared" si="4"/>
        <v>6824.5655227559218</v>
      </c>
      <c r="Q21" s="44">
        <f t="shared" si="5"/>
        <v>9083.1936772440804</v>
      </c>
      <c r="R21" s="44">
        <f>IF(B21=0,0,IF(B21&lt;='Eingabe Immodaten'!$H$6,'Eingabe Immodaten'!$H$7,'Eingabe Immodaten'!$H$10))</f>
        <v>2.5299999999999998</v>
      </c>
      <c r="S21" s="44">
        <f t="shared" si="6"/>
        <v>4.1877459490719084E-8</v>
      </c>
      <c r="T21" s="44">
        <f t="shared" si="17"/>
        <v>-4.1877459490719084E-8</v>
      </c>
      <c r="U21" s="44">
        <f t="shared" si="7"/>
        <v>147443.53849615689</v>
      </c>
      <c r="V21" s="44">
        <f t="shared" si="8"/>
        <v>1.7971130124835685E-6</v>
      </c>
      <c r="W21" s="44">
        <f t="shared" si="9"/>
        <v>147443.538497954</v>
      </c>
      <c r="X21" s="44">
        <f>IF(B21=0,0,'Eingabe Immodaten'!$H$14)</f>
        <v>215104.92000000004</v>
      </c>
      <c r="Y21" s="93">
        <f>IF(B21=0,0,IF(Z20=0,0,('Eingabe Immodaten'!$H$15)))</f>
        <v>3.5</v>
      </c>
      <c r="Z21" s="93">
        <f>IF(B21=0,0,IF(Z20+1&gt;99,0,Z20+Tabelle12[[#This Row],[Spalte23]]))</f>
        <v>52.5</v>
      </c>
      <c r="AA21" s="44">
        <f t="shared" si="10"/>
        <v>7528.6722000000018</v>
      </c>
      <c r="AB21" s="44">
        <f>IF(B21=0,0,IF(B21&lt;13,'Eingabe Immodaten'!$H$16,0))</f>
        <v>0</v>
      </c>
      <c r="AC21" s="44">
        <f t="shared" si="11"/>
        <v>0</v>
      </c>
      <c r="AD21" s="44">
        <f t="shared" si="18"/>
        <v>0</v>
      </c>
      <c r="AE21" s="44">
        <f>IF(B21=0,0,IF(B21&lt;='Eingabe Immodaten'!$C$28,IF('Eingabe Immodaten'!$C$29&gt;5,'Eingabe Immodaten'!$C$29/100*'Eingabe Immodaten'!$C$23/'Eingabe Immodaten'!$C$28,0),0))</f>
        <v>0</v>
      </c>
      <c r="AF21" s="44">
        <f>(G21-P21-S21-AA21-AD21)*'Eingabe Immodaten'!$H$19</f>
        <v>530.02854512882459</v>
      </c>
      <c r="AG21" s="44">
        <f t="shared" si="12"/>
        <v>-725.50247071865488</v>
      </c>
      <c r="AH21" s="44"/>
      <c r="AI21" s="44">
        <f>IF(B21='Eingabe Immodaten'!$H$28,U21,0)</f>
        <v>0</v>
      </c>
      <c r="AJ21" s="44">
        <f t="shared" si="13"/>
        <v>15182.256729281347</v>
      </c>
      <c r="AK21" s="44">
        <f t="shared" si="14"/>
        <v>-725.50247071865488</v>
      </c>
      <c r="AL21" s="48">
        <f t="shared" si="19"/>
        <v>-60.458539226554571</v>
      </c>
      <c r="AM21" s="44">
        <f t="shared" si="20"/>
        <v>-43144.798463387095</v>
      </c>
      <c r="AN21" s="44">
        <f>IF(B21=0,0,D21*(1+'Eingabe Immodaten'!$C$15/100))*'Eingabe Immodaten'!H22</f>
        <v>394645.6103643066</v>
      </c>
      <c r="AO21" s="44">
        <f>IF(D21=0,0,AN21-W21+Tabelle12[[#This Row],[Spalte36]])</f>
        <v>204057.27340296551</v>
      </c>
      <c r="AP21" s="44">
        <f>IF(B21='Eingabe Immodaten'!$H$28,Ergebnistabelle!D21*'Eingabe Immodaten'!$H$22,0)</f>
        <v>0</v>
      </c>
      <c r="AQ21" s="44">
        <f>IF(B21='Eingabe Immodaten'!$H$28,Ergebnistabelle!AM21,0)</f>
        <v>0</v>
      </c>
      <c r="AR21" s="44">
        <f>IF(B21='Eingabe Immodaten'!$H$28,Ergebnistabelle!AO21,0)</f>
        <v>0</v>
      </c>
      <c r="AS21" s="44">
        <f>IF(B21='Eingabe Immodaten'!$H$28,Ergebnistabelle!W21,0)</f>
        <v>0</v>
      </c>
      <c r="AT21" s="44">
        <f>IF(B21='Eingabe Immodaten'!$H$28,Ergebnistabelle!G21,0)</f>
        <v>0</v>
      </c>
      <c r="AU21" s="44">
        <f>IF(B21='Eingabe Immodaten'!$H$28,Ergebnistabelle!L21,0)</f>
        <v>0</v>
      </c>
      <c r="AV21" s="191"/>
      <c r="AW21" s="191"/>
      <c r="AX21" s="191"/>
      <c r="AY21" s="191"/>
      <c r="AZ21" s="191"/>
      <c r="BA21" s="191"/>
      <c r="BB21" s="191"/>
      <c r="BC21" s="191"/>
      <c r="BD21" s="191"/>
      <c r="BE21" s="191"/>
      <c r="BF21" s="191"/>
      <c r="BG21" s="191"/>
      <c r="BH21" s="191"/>
      <c r="BI21" s="191"/>
      <c r="BJ21" s="191"/>
      <c r="BK21" s="191"/>
      <c r="BL21" s="191"/>
      <c r="BM21" s="191"/>
    </row>
    <row r="22" spans="1:65">
      <c r="A22" s="191"/>
      <c r="B22" s="45">
        <f>IF(B21=0,0,IF(B21+1&gt;'Eingabe Immodaten'!$H$28,0,B21+1))</f>
        <v>16</v>
      </c>
      <c r="C22" s="49">
        <f t="shared" si="1"/>
        <v>1480.0690457707269</v>
      </c>
      <c r="D22" s="44">
        <f>IF(B22=0,0,D21*(1+'Eingabe Immodaten'!$C$15/100))</f>
        <v>17760.828549248723</v>
      </c>
      <c r="E22" s="44">
        <f t="shared" si="0"/>
        <v>229788.4468575393</v>
      </c>
      <c r="F22" s="44">
        <f>IF(B22=0,0,F21*(1+'Eingabe Immodaten'!$C$16/100))</f>
        <v>1546.5499648274827</v>
      </c>
      <c r="G22" s="44">
        <f t="shared" si="2"/>
        <v>16214.278584421241</v>
      </c>
      <c r="H22" s="44">
        <f>IF(B22=0,0,IF(B22&lt;='Eingabe Immodaten'!$C$28,'Eingabe Immodaten'!$C$32,'Eingabe Immodaten'!$C$34))</f>
        <v>15907.759200000002</v>
      </c>
      <c r="I22" s="44">
        <f>IF(B22=0,0,IF(B22&lt;='Eingabe Immodaten'!$H$6,'Eingabe Immodaten'!$H$9,'Eingabe Immodaten'!$H$11))</f>
        <v>0</v>
      </c>
      <c r="J22" s="44">
        <f t="shared" si="3"/>
        <v>15907.759200000002</v>
      </c>
      <c r="K22" s="44">
        <f t="shared" si="15"/>
        <v>0</v>
      </c>
      <c r="L22" s="44">
        <f t="shared" si="16"/>
        <v>15907.759200000002</v>
      </c>
      <c r="M22" s="46"/>
      <c r="N22" s="46"/>
      <c r="O22" s="47">
        <f>IF(B22=0,0,IF(B22&lt;='Eingabe Immodaten'!$C$28,'Eingabe Immodaten'!$C$30,'Eingabe Immodaten'!$C$33))</f>
        <v>4.3600000000000003</v>
      </c>
      <c r="P22" s="44">
        <f t="shared" si="4"/>
        <v>6428.5382784324411</v>
      </c>
      <c r="Q22" s="44">
        <f t="shared" si="5"/>
        <v>9479.2209215675612</v>
      </c>
      <c r="R22" s="44">
        <f>IF(B22=0,0,IF(B22&lt;='Eingabe Immodaten'!$H$6,'Eingabe Immodaten'!$H$7,'Eingabe Immodaten'!$H$10))</f>
        <v>2.5299999999999998</v>
      </c>
      <c r="S22" s="44">
        <f t="shared" si="6"/>
        <v>4.5466959215834275E-8</v>
      </c>
      <c r="T22" s="44">
        <f t="shared" si="17"/>
        <v>-4.5466959215834275E-8</v>
      </c>
      <c r="U22" s="44">
        <f t="shared" si="7"/>
        <v>137964.31757468934</v>
      </c>
      <c r="V22" s="44">
        <f t="shared" si="8"/>
        <v>1.9425799716994029E-6</v>
      </c>
      <c r="W22" s="44">
        <f t="shared" si="9"/>
        <v>137964.31757663193</v>
      </c>
      <c r="X22" s="44">
        <f>IF(B22=0,0,'Eingabe Immodaten'!$H$14)</f>
        <v>215104.92000000004</v>
      </c>
      <c r="Y22" s="93">
        <f>IF(B22=0,0,IF(Z21=0,0,('Eingabe Immodaten'!$H$15)))</f>
        <v>3.5</v>
      </c>
      <c r="Z22" s="93">
        <f>IF(B22=0,0,IF(Z21+1&gt;99,0,Z21+Tabelle12[[#This Row],[Spalte23]]))</f>
        <v>56</v>
      </c>
      <c r="AA22" s="44">
        <f t="shared" si="10"/>
        <v>7528.6722000000018</v>
      </c>
      <c r="AB22" s="44">
        <f>IF(B22=0,0,IF(B22&lt;13,'Eingabe Immodaten'!$H$16,0))</f>
        <v>0</v>
      </c>
      <c r="AC22" s="44">
        <f t="shared" si="11"/>
        <v>0</v>
      </c>
      <c r="AD22" s="44">
        <f t="shared" si="18"/>
        <v>0</v>
      </c>
      <c r="AE22" s="44">
        <f>IF(B22=0,0,IF(B22&lt;='Eingabe Immodaten'!$C$28,IF('Eingabe Immodaten'!$C$29&gt;5,'Eingabe Immodaten'!$C$29/100*'Eingabe Immodaten'!$C$23/'Eingabe Immodaten'!$C$28,0),0))</f>
        <v>0</v>
      </c>
      <c r="AF22" s="44">
        <f>(G22-P22-S22-AA22-AD22)*'Eingabe Immodaten'!$H$19</f>
        <v>880.25656131789913</v>
      </c>
      <c r="AG22" s="44">
        <f t="shared" si="12"/>
        <v>-573.73717689666046</v>
      </c>
      <c r="AH22" s="44"/>
      <c r="AI22" s="44">
        <f>IF(B22='Eingabe Immodaten'!$H$28,U22,0)</f>
        <v>0</v>
      </c>
      <c r="AJ22" s="44">
        <f t="shared" si="13"/>
        <v>15334.022023103342</v>
      </c>
      <c r="AK22" s="44">
        <f t="shared" si="14"/>
        <v>-573.73717689666046</v>
      </c>
      <c r="AL22" s="48">
        <f t="shared" si="19"/>
        <v>-47.811431408055036</v>
      </c>
      <c r="AM22" s="44">
        <f t="shared" si="20"/>
        <v>-43718.535640283757</v>
      </c>
      <c r="AN22" s="44">
        <f>IF(B22=0,0,D22*(1+'Eingabe Immodaten'!$C$15/100))*'Eingabe Immodaten'!H22</f>
        <v>406484.97867523582</v>
      </c>
      <c r="AO22" s="44">
        <f>IF(D22=0,0,AN22-W22+Tabelle12[[#This Row],[Spalte36]])</f>
        <v>224802.12545832011</v>
      </c>
      <c r="AP22" s="44">
        <f>IF(B22='Eingabe Immodaten'!$H$28,Ergebnistabelle!D22*'Eingabe Immodaten'!$H$22,0)</f>
        <v>0</v>
      </c>
      <c r="AQ22" s="44">
        <f>IF(B22='Eingabe Immodaten'!$H$28,Ergebnistabelle!AM22,0)</f>
        <v>0</v>
      </c>
      <c r="AR22" s="44">
        <f>IF(B22='Eingabe Immodaten'!$H$28,Ergebnistabelle!AO22,0)</f>
        <v>0</v>
      </c>
      <c r="AS22" s="44">
        <f>IF(B22='Eingabe Immodaten'!$H$28,Ergebnistabelle!W22,0)</f>
        <v>0</v>
      </c>
      <c r="AT22" s="44">
        <f>IF(B22='Eingabe Immodaten'!$H$28,Ergebnistabelle!G22,0)</f>
        <v>0</v>
      </c>
      <c r="AU22" s="44">
        <f>IF(B22='Eingabe Immodaten'!$H$28,Ergebnistabelle!L22,0)</f>
        <v>0</v>
      </c>
      <c r="AV22" s="191"/>
      <c r="AW22" s="191"/>
      <c r="AX22" s="191"/>
      <c r="AY22" s="191"/>
      <c r="AZ22" s="191"/>
      <c r="BA22" s="191"/>
      <c r="BB22" s="191"/>
      <c r="BC22" s="191"/>
      <c r="BD22" s="191"/>
      <c r="BE22" s="191"/>
      <c r="BF22" s="191"/>
      <c r="BG22" s="191"/>
      <c r="BH22" s="191"/>
      <c r="BI22" s="191"/>
      <c r="BJ22" s="191"/>
      <c r="BK22" s="191"/>
      <c r="BL22" s="191"/>
      <c r="BM22" s="191"/>
    </row>
    <row r="23" spans="1:65">
      <c r="A23" s="191"/>
      <c r="B23" s="45">
        <f>IF(B22=0,0,IF(B22+1&gt;'Eingabe Immodaten'!$H$28,0,B22+1))</f>
        <v>17</v>
      </c>
      <c r="C23" s="49">
        <f t="shared" si="1"/>
        <v>1524.4711171438487</v>
      </c>
      <c r="D23" s="44">
        <f>IF(B23=0,0,D22*(1+'Eingabe Immodaten'!$C$15/100))</f>
        <v>18293.653405726185</v>
      </c>
      <c r="E23" s="44">
        <f t="shared" si="0"/>
        <v>248082.10026326549</v>
      </c>
      <c r="F23" s="44">
        <f>IF(B23=0,0,F22*(1+'Eingabe Immodaten'!$C$16/100))</f>
        <v>1562.0154644757574</v>
      </c>
      <c r="G23" s="44">
        <f t="shared" si="2"/>
        <v>16731.637941250428</v>
      </c>
      <c r="H23" s="44">
        <f>IF(B23=0,0,IF(B23&lt;='Eingabe Immodaten'!$C$28,'Eingabe Immodaten'!$C$32,'Eingabe Immodaten'!$C$34))</f>
        <v>15907.759200000002</v>
      </c>
      <c r="I23" s="44">
        <f>IF(B23=0,0,IF(B23&lt;='Eingabe Immodaten'!$H$6,'Eingabe Immodaten'!$H$9,'Eingabe Immodaten'!$H$11))</f>
        <v>0</v>
      </c>
      <c r="J23" s="44">
        <f t="shared" si="3"/>
        <v>15907.759200000002</v>
      </c>
      <c r="K23" s="44">
        <f t="shared" si="15"/>
        <v>0</v>
      </c>
      <c r="L23" s="44">
        <f t="shared" si="16"/>
        <v>15907.759200000002</v>
      </c>
      <c r="M23" s="46">
        <v>0</v>
      </c>
      <c r="N23" s="46"/>
      <c r="O23" s="47">
        <f>IF(B23=0,0,IF(B23&lt;='Eingabe Immodaten'!$C$28,'Eingabe Immodaten'!$C$30,'Eingabe Immodaten'!$C$33))</f>
        <v>4.3600000000000003</v>
      </c>
      <c r="P23" s="44">
        <f t="shared" si="4"/>
        <v>6015.244246256455</v>
      </c>
      <c r="Q23" s="44">
        <f t="shared" si="5"/>
        <v>9892.5149537435464</v>
      </c>
      <c r="R23" s="44">
        <f>IF(B23=0,0,IF(B23&lt;='Eingabe Immodaten'!$H$6,'Eingabe Immodaten'!$H$7,'Eingabe Immodaten'!$H$10))</f>
        <v>2.5299999999999998</v>
      </c>
      <c r="S23" s="44">
        <f t="shared" si="6"/>
        <v>4.9147273283994882E-8</v>
      </c>
      <c r="T23" s="44">
        <f t="shared" si="17"/>
        <v>-4.9147273283994882E-8</v>
      </c>
      <c r="U23" s="44">
        <f t="shared" si="7"/>
        <v>128071.80262104579</v>
      </c>
      <c r="V23" s="44">
        <f t="shared" si="8"/>
        <v>2.0917272449833976E-6</v>
      </c>
      <c r="W23" s="44">
        <f t="shared" si="9"/>
        <v>128071.80262313751</v>
      </c>
      <c r="X23" s="44">
        <f>IF(B23=0,0,'Eingabe Immodaten'!$H$14)</f>
        <v>215104.92000000004</v>
      </c>
      <c r="Y23" s="93">
        <f>IF(B23=0,0,IF(Z22=0,0,('Eingabe Immodaten'!$H$15)))</f>
        <v>3.5</v>
      </c>
      <c r="Z23" s="93">
        <f>IF(B23=0,0,IF(Z22+1&gt;99,0,Z22+Tabelle12[[#This Row],[Spalte23]]))</f>
        <v>59.5</v>
      </c>
      <c r="AA23" s="44">
        <f t="shared" si="10"/>
        <v>7528.6722000000018</v>
      </c>
      <c r="AB23" s="44">
        <f>IF(B23=0,0,IF(B23&lt;13,'Eingabe Immodaten'!$H$16,0))</f>
        <v>0</v>
      </c>
      <c r="AC23" s="44">
        <f t="shared" si="11"/>
        <v>0</v>
      </c>
      <c r="AD23" s="44">
        <f t="shared" si="18"/>
        <v>0</v>
      </c>
      <c r="AE23" s="44">
        <f>IF(B23=0,0,IF(B23&lt;='Eingabe Immodaten'!$C$28,IF('Eingabe Immodaten'!$C$29&gt;5,'Eingabe Immodaten'!$C$29/100*'Eingabe Immodaten'!$C$23/'Eingabe Immodaten'!$C$28,0),0))</f>
        <v>0</v>
      </c>
      <c r="AF23" s="44">
        <f>(G23-P23-S23-AA23-AD23)*'Eingabe Immodaten'!$H$19</f>
        <v>1243.2113830284818</v>
      </c>
      <c r="AG23" s="44">
        <f t="shared" si="12"/>
        <v>-419.3326417780554</v>
      </c>
      <c r="AH23" s="44"/>
      <c r="AI23" s="44">
        <f>IF(B23='Eingabe Immodaten'!$H$28,U23,0)</f>
        <v>0</v>
      </c>
      <c r="AJ23" s="44">
        <f t="shared" si="13"/>
        <v>15488.426558221947</v>
      </c>
      <c r="AK23" s="44">
        <f t="shared" si="14"/>
        <v>-419.3326417780554</v>
      </c>
      <c r="AL23" s="48">
        <f t="shared" si="19"/>
        <v>-34.944386814837948</v>
      </c>
      <c r="AM23" s="44">
        <f t="shared" si="20"/>
        <v>-44137.868282061812</v>
      </c>
      <c r="AN23" s="44">
        <f>IF(B23=0,0,D23*(1+'Eingabe Immodaten'!$C$15/100))*'Eingabe Immodaten'!H22</f>
        <v>418679.52803549293</v>
      </c>
      <c r="AO23" s="44">
        <f>IF(D23=0,0,AN23-W23+Tabelle12[[#This Row],[Spalte36]])</f>
        <v>246469.85713029356</v>
      </c>
      <c r="AP23" s="44">
        <f>IF(B23='Eingabe Immodaten'!$H$28,Ergebnistabelle!D23*'Eingabe Immodaten'!$H$22,0)</f>
        <v>0</v>
      </c>
      <c r="AQ23" s="44">
        <f>IF(B23='Eingabe Immodaten'!$H$28,Ergebnistabelle!AM23,0)</f>
        <v>0</v>
      </c>
      <c r="AR23" s="44">
        <f>IF(B23='Eingabe Immodaten'!$H$28,Ergebnistabelle!AO23,0)</f>
        <v>0</v>
      </c>
      <c r="AS23" s="44">
        <f>IF(B23='Eingabe Immodaten'!$H$28,Ergebnistabelle!W23,0)</f>
        <v>0</v>
      </c>
      <c r="AT23" s="44">
        <f>IF(B23='Eingabe Immodaten'!$H$28,Ergebnistabelle!G23,0)</f>
        <v>0</v>
      </c>
      <c r="AU23" s="44">
        <f>IF(B23='Eingabe Immodaten'!$H$28,Ergebnistabelle!L23,0)</f>
        <v>0</v>
      </c>
      <c r="AV23" s="191"/>
      <c r="AW23" s="191"/>
      <c r="AX23" s="191"/>
      <c r="AY23" s="191"/>
      <c r="AZ23" s="191"/>
      <c r="BA23" s="191"/>
      <c r="BB23" s="191"/>
      <c r="BC23" s="191"/>
      <c r="BD23" s="191"/>
      <c r="BE23" s="191"/>
      <c r="BF23" s="191"/>
      <c r="BG23" s="191"/>
      <c r="BH23" s="191"/>
      <c r="BI23" s="191"/>
      <c r="BJ23" s="191"/>
      <c r="BK23" s="191"/>
      <c r="BL23" s="191"/>
      <c r="BM23" s="191"/>
    </row>
    <row r="24" spans="1:65">
      <c r="A24" s="191"/>
      <c r="B24" s="45">
        <f>IF(B23=0,0,IF(B23+1&gt;'Eingabe Immodaten'!$H$28,0,B23+1))</f>
        <v>18</v>
      </c>
      <c r="C24" s="49">
        <f t="shared" si="1"/>
        <v>1570.2052506581642</v>
      </c>
      <c r="D24" s="44">
        <f>IF(B24=0,0,D23*(1+'Eingabe Immodaten'!$C$15/100))</f>
        <v>18842.463007897972</v>
      </c>
      <c r="E24" s="44">
        <f t="shared" si="0"/>
        <v>266924.56327116344</v>
      </c>
      <c r="F24" s="44">
        <f>IF(B24=0,0,F23*(1+'Eingabe Immodaten'!$C$16/100))</f>
        <v>1577.635619120515</v>
      </c>
      <c r="G24" s="44">
        <f t="shared" si="2"/>
        <v>17264.827388777456</v>
      </c>
      <c r="H24" s="44">
        <f>IF(B24=0,0,IF(B24&lt;='Eingabe Immodaten'!$C$28,'Eingabe Immodaten'!$C$32,'Eingabe Immodaten'!$C$34))</f>
        <v>15907.759200000002</v>
      </c>
      <c r="I24" s="44">
        <f>IF(B24=0,0,IF(B24&lt;='Eingabe Immodaten'!$H$6,'Eingabe Immodaten'!$H$9,'Eingabe Immodaten'!$H$11))</f>
        <v>0</v>
      </c>
      <c r="J24" s="44">
        <f t="shared" si="3"/>
        <v>15907.759200000002</v>
      </c>
      <c r="K24" s="44">
        <f t="shared" si="15"/>
        <v>0</v>
      </c>
      <c r="L24" s="44">
        <f t="shared" si="16"/>
        <v>15907.759200000002</v>
      </c>
      <c r="M24" s="46"/>
      <c r="N24" s="46"/>
      <c r="O24" s="47">
        <f>IF(B24=0,0,IF(B24&lt;='Eingabe Immodaten'!$C$28,'Eingabe Immodaten'!$C$30,'Eingabe Immodaten'!$C$33))</f>
        <v>4.3600000000000003</v>
      </c>
      <c r="P24" s="44">
        <f t="shared" si="4"/>
        <v>5583.9305942775973</v>
      </c>
      <c r="Q24" s="44">
        <f t="shared" si="5"/>
        <v>10323.828605722405</v>
      </c>
      <c r="R24" s="44">
        <f>IF(B24=0,0,IF(B24&lt;='Eingabe Immodaten'!$H$6,'Eingabe Immodaten'!$H$7,'Eingabe Immodaten'!$H$10))</f>
        <v>2.5299999999999998</v>
      </c>
      <c r="S24" s="44">
        <f t="shared" si="6"/>
        <v>5.2920699298079948E-8</v>
      </c>
      <c r="T24" s="44">
        <f t="shared" si="17"/>
        <v>-5.2920699298079948E-8</v>
      </c>
      <c r="U24" s="44">
        <f t="shared" si="7"/>
        <v>117747.97401542339</v>
      </c>
      <c r="V24" s="44">
        <f t="shared" si="8"/>
        <v>2.2446479442814774E-6</v>
      </c>
      <c r="W24" s="44">
        <f t="shared" si="9"/>
        <v>117747.97401766804</v>
      </c>
      <c r="X24" s="44">
        <f>IF(B24=0,0,'Eingabe Immodaten'!$H$14)</f>
        <v>215104.92000000004</v>
      </c>
      <c r="Y24" s="93">
        <f>IF(B24=0,0,IF(Z23=0,0,('Eingabe Immodaten'!$H$15)))</f>
        <v>3.5</v>
      </c>
      <c r="Z24" s="93">
        <f>IF(B24=0,0,IF(Z23+1&gt;99,0,Z23+Tabelle12[[#This Row],[Spalte23]]))</f>
        <v>63</v>
      </c>
      <c r="AA24" s="44">
        <f t="shared" si="10"/>
        <v>7528.6722000000018</v>
      </c>
      <c r="AB24" s="44">
        <f>IF(B24=0,0,IF(B24&lt;13,'Eingabe Immodaten'!$H$16,0))</f>
        <v>0</v>
      </c>
      <c r="AC24" s="44">
        <f t="shared" si="11"/>
        <v>0</v>
      </c>
      <c r="AD24" s="44">
        <f t="shared" si="18"/>
        <v>0</v>
      </c>
      <c r="AE24" s="44">
        <f>IF(B24=0,0,IF(B24&lt;='Eingabe Immodaten'!$C$28,IF('Eingabe Immodaten'!$C$29&gt;5,'Eingabe Immodaten'!$C$29/100*'Eingabe Immodaten'!$C$23/'Eingabe Immodaten'!$C$28,0),0))</f>
        <v>0</v>
      </c>
      <c r="AF24" s="44">
        <f>(G24-P24-S24-AA24-AD24)*'Eingabe Immodaten'!$H$19</f>
        <v>1619.3675918343054</v>
      </c>
      <c r="AG24" s="44">
        <f t="shared" si="12"/>
        <v>-262.29940305685159</v>
      </c>
      <c r="AH24" s="44"/>
      <c r="AI24" s="44">
        <f>IF(B24='Eingabe Immodaten'!$H$28,U24,0)</f>
        <v>0</v>
      </c>
      <c r="AJ24" s="44">
        <f t="shared" si="13"/>
        <v>15645.459796943151</v>
      </c>
      <c r="AK24" s="44">
        <f t="shared" si="14"/>
        <v>-262.29940305685159</v>
      </c>
      <c r="AL24" s="48">
        <f t="shared" si="19"/>
        <v>-21.858283588070964</v>
      </c>
      <c r="AM24" s="44">
        <f t="shared" si="20"/>
        <v>-44400.167685118664</v>
      </c>
      <c r="AN24" s="44">
        <f>IF(B24=0,0,D24*(1+'Eingabe Immodaten'!$C$15/100))*'Eingabe Immodaten'!H22</f>
        <v>431239.91387655766</v>
      </c>
      <c r="AO24" s="44">
        <f>IF(D24=0,0,AN24-W24+Tabelle12[[#This Row],[Spalte36]])</f>
        <v>269091.77217377094</v>
      </c>
      <c r="AP24" s="44">
        <f>IF(B24='Eingabe Immodaten'!$H$28,Ergebnistabelle!D24*'Eingabe Immodaten'!$H$22,0)</f>
        <v>0</v>
      </c>
      <c r="AQ24" s="44">
        <f>IF(B24='Eingabe Immodaten'!$H$28,Ergebnistabelle!AM24,0)</f>
        <v>0</v>
      </c>
      <c r="AR24" s="44">
        <f>IF(B24='Eingabe Immodaten'!$H$28,Ergebnistabelle!AO24,0)</f>
        <v>0</v>
      </c>
      <c r="AS24" s="44">
        <f>IF(B24='Eingabe Immodaten'!$H$28,Ergebnistabelle!W24,0)</f>
        <v>0</v>
      </c>
      <c r="AT24" s="44">
        <f>IF(B24='Eingabe Immodaten'!$H$28,Ergebnistabelle!G24,0)</f>
        <v>0</v>
      </c>
      <c r="AU24" s="44">
        <f>IF(B24='Eingabe Immodaten'!$H$28,Ergebnistabelle!L24,0)</f>
        <v>0</v>
      </c>
      <c r="AV24" s="191"/>
      <c r="AW24" s="191"/>
      <c r="AX24" s="191"/>
      <c r="AY24" s="191"/>
      <c r="AZ24" s="191"/>
      <c r="BA24" s="191"/>
      <c r="BB24" s="191"/>
      <c r="BC24" s="191"/>
      <c r="BD24" s="191"/>
      <c r="BE24" s="191"/>
      <c r="BF24" s="191"/>
      <c r="BG24" s="191"/>
      <c r="BH24" s="191"/>
      <c r="BI24" s="191"/>
      <c r="BJ24" s="191"/>
      <c r="BK24" s="191"/>
      <c r="BL24" s="191"/>
      <c r="BM24" s="191"/>
    </row>
    <row r="25" spans="1:65">
      <c r="A25" s="191"/>
      <c r="B25" s="45">
        <f>IF(B24=0,0,IF(B24+1&gt;'Eingabe Immodaten'!$H$28,0,B24+1))</f>
        <v>19</v>
      </c>
      <c r="C25" s="49">
        <f t="shared" si="1"/>
        <v>1617.3114081779092</v>
      </c>
      <c r="D25" s="44">
        <f>IF(B25=0,0,D24*(1+'Eingabe Immodaten'!$C$15/100))</f>
        <v>19407.73689813491</v>
      </c>
      <c r="E25" s="44">
        <f t="shared" si="0"/>
        <v>286332.30016929837</v>
      </c>
      <c r="F25" s="44">
        <f>IF(B25=0,0,F24*(1+'Eingabe Immodaten'!$C$16/100))</f>
        <v>1593.4119753117202</v>
      </c>
      <c r="G25" s="44">
        <f t="shared" si="2"/>
        <v>17814.324922823191</v>
      </c>
      <c r="H25" s="44">
        <f>IF(B25=0,0,IF(B25&lt;='Eingabe Immodaten'!$C$28,'Eingabe Immodaten'!$C$32,'Eingabe Immodaten'!$C$34))</f>
        <v>15907.759200000002</v>
      </c>
      <c r="I25" s="44">
        <f>IF(B25=0,0,IF(B25&lt;='Eingabe Immodaten'!$H$6,'Eingabe Immodaten'!$H$9,'Eingabe Immodaten'!$H$11))</f>
        <v>0</v>
      </c>
      <c r="J25" s="44">
        <f t="shared" si="3"/>
        <v>15907.759200000002</v>
      </c>
      <c r="K25" s="44">
        <f t="shared" si="15"/>
        <v>0</v>
      </c>
      <c r="L25" s="44">
        <f t="shared" si="16"/>
        <v>15907.759200000002</v>
      </c>
      <c r="M25" s="46">
        <v>0</v>
      </c>
      <c r="N25" s="46"/>
      <c r="O25" s="47">
        <f>IF(B25=0,0,IF(B25&lt;='Eingabe Immodaten'!$C$28,'Eingabe Immodaten'!$C$30,'Eingabe Immodaten'!$C$33))</f>
        <v>4.3600000000000003</v>
      </c>
      <c r="P25" s="44">
        <f t="shared" si="4"/>
        <v>5133.8116670724594</v>
      </c>
      <c r="Q25" s="44">
        <f t="shared" si="5"/>
        <v>10773.947532927543</v>
      </c>
      <c r="R25" s="44">
        <f>IF(B25=0,0,IF(B25&lt;='Eingabe Immodaten'!$H$6,'Eingabe Immodaten'!$H$7,'Eingabe Immodaten'!$H$10))</f>
        <v>2.5299999999999998</v>
      </c>
      <c r="S25" s="44">
        <f t="shared" si="6"/>
        <v>5.6789592990321372E-8</v>
      </c>
      <c r="T25" s="44">
        <f t="shared" si="17"/>
        <v>-5.6789592990321372E-8</v>
      </c>
      <c r="U25" s="44">
        <f t="shared" si="7"/>
        <v>106974.02648259584</v>
      </c>
      <c r="V25" s="44">
        <f t="shared" si="8"/>
        <v>2.4014375372717986E-6</v>
      </c>
      <c r="W25" s="44">
        <f t="shared" si="9"/>
        <v>106974.02648499729</v>
      </c>
      <c r="X25" s="44">
        <f>IF(B25=0,0,'Eingabe Immodaten'!$H$14)</f>
        <v>215104.92000000004</v>
      </c>
      <c r="Y25" s="93">
        <f>IF(B25=0,0,IF(Z24=0,0,('Eingabe Immodaten'!$H$15)))</f>
        <v>3.5</v>
      </c>
      <c r="Z25" s="93">
        <f>IF(B25=0,0,IF(Z24+1&gt;99,0,Z24+Tabelle12[[#This Row],[Spalte23]]))</f>
        <v>66.5</v>
      </c>
      <c r="AA25" s="44">
        <f t="shared" si="10"/>
        <v>7528.6722000000018</v>
      </c>
      <c r="AB25" s="44">
        <f>IF(B25=0,0,IF(B25&lt;13,'Eingabe Immodaten'!$H$16,0))</f>
        <v>0</v>
      </c>
      <c r="AC25" s="44">
        <f t="shared" si="11"/>
        <v>0</v>
      </c>
      <c r="AD25" s="44">
        <f t="shared" si="18"/>
        <v>0</v>
      </c>
      <c r="AE25" s="44">
        <f>IF(B25=0,0,IF(B25&lt;='Eingabe Immodaten'!$C$28,IF('Eingabe Immodaten'!$C$29&gt;5,'Eingabe Immodaten'!$C$29/100*'Eingabe Immodaten'!$C$23/'Eingabe Immodaten'!$C$28,0),0))</f>
        <v>0</v>
      </c>
      <c r="AF25" s="44">
        <f>(G25-P25-S25-AA25-AD25)*'Eingabe Immodaten'!$H$19</f>
        <v>2009.2180117206369</v>
      </c>
      <c r="AG25" s="44">
        <f t="shared" si="12"/>
        <v>-102.65228889744867</v>
      </c>
      <c r="AH25" s="44"/>
      <c r="AI25" s="44">
        <f>IF(B25='Eingabe Immodaten'!$H$28,U25,0)</f>
        <v>0</v>
      </c>
      <c r="AJ25" s="44">
        <f t="shared" si="13"/>
        <v>15805.106911102554</v>
      </c>
      <c r="AK25" s="44">
        <f t="shared" si="14"/>
        <v>-102.65228889744867</v>
      </c>
      <c r="AL25" s="48">
        <f t="shared" si="19"/>
        <v>-8.5543574081207225</v>
      </c>
      <c r="AM25" s="44">
        <f t="shared" si="20"/>
        <v>-44502.819974016114</v>
      </c>
      <c r="AN25" s="44">
        <f>IF(B25=0,0,D25*(1+'Eingabe Immodaten'!$C$15/100))*'Eingabe Immodaten'!H22</f>
        <v>444177.11129285442</v>
      </c>
      <c r="AO25" s="44">
        <f>IF(D25=0,0,AN25-W25+Tabelle12[[#This Row],[Spalte36]])</f>
        <v>292700.26483384101</v>
      </c>
      <c r="AP25" s="44">
        <f>IF(B25='Eingabe Immodaten'!$H$28,Ergebnistabelle!D25*'Eingabe Immodaten'!$H$22,0)</f>
        <v>0</v>
      </c>
      <c r="AQ25" s="44">
        <f>IF(B25='Eingabe Immodaten'!$H$28,Ergebnistabelle!AM25,0)</f>
        <v>0</v>
      </c>
      <c r="AR25" s="44">
        <f>IF(B25='Eingabe Immodaten'!$H$28,Ergebnistabelle!AO25,0)</f>
        <v>0</v>
      </c>
      <c r="AS25" s="44">
        <f>IF(B25='Eingabe Immodaten'!$H$28,Ergebnistabelle!W25,0)</f>
        <v>0</v>
      </c>
      <c r="AT25" s="44">
        <f>IF(B25='Eingabe Immodaten'!$H$28,Ergebnistabelle!G25,0)</f>
        <v>0</v>
      </c>
      <c r="AU25" s="44">
        <f>IF(B25='Eingabe Immodaten'!$H$28,Ergebnistabelle!L25,0)</f>
        <v>0</v>
      </c>
      <c r="AV25" s="191"/>
      <c r="AW25" s="191"/>
      <c r="AX25" s="191"/>
      <c r="AY25" s="191"/>
      <c r="AZ25" s="191"/>
      <c r="BA25" s="191"/>
      <c r="BB25" s="191"/>
      <c r="BC25" s="191"/>
      <c r="BD25" s="191"/>
      <c r="BE25" s="191"/>
      <c r="BF25" s="191"/>
      <c r="BG25" s="191"/>
      <c r="BH25" s="191"/>
      <c r="BI25" s="191"/>
      <c r="BJ25" s="191"/>
      <c r="BK25" s="191"/>
      <c r="BL25" s="191"/>
      <c r="BM25" s="191"/>
    </row>
    <row r="26" spans="1:65">
      <c r="A26" s="191"/>
      <c r="B26" s="45">
        <f>IF(B25=0,0,IF(B25+1&gt;'Eingabe Immodaten'!$H$28,0,B25+1))</f>
        <v>20</v>
      </c>
      <c r="C26" s="49">
        <f t="shared" si="1"/>
        <v>1665.8307504232464</v>
      </c>
      <c r="D26" s="44">
        <f>IF(B26=0,0,D25*(1+'Eingabe Immodaten'!$C$15/100))</f>
        <v>19989.969005078958</v>
      </c>
      <c r="E26" s="44">
        <f t="shared" si="0"/>
        <v>306322.26917437732</v>
      </c>
      <c r="F26" s="44">
        <f>IF(B26=0,0,F25*(1+'Eingabe Immodaten'!$C$16/100))</f>
        <v>1609.3460950648375</v>
      </c>
      <c r="G26" s="44">
        <f t="shared" si="2"/>
        <v>18380.622910014121</v>
      </c>
      <c r="H26" s="44">
        <f>IF(B26=0,0,IF(B26&lt;='Eingabe Immodaten'!$C$28,'Eingabe Immodaten'!$C$32,'Eingabe Immodaten'!$C$34))</f>
        <v>15907.759200000002</v>
      </c>
      <c r="I26" s="44">
        <f>IF(B26=0,0,IF(B26&lt;='Eingabe Immodaten'!$H$6,'Eingabe Immodaten'!$H$9,'Eingabe Immodaten'!$H$11))</f>
        <v>0</v>
      </c>
      <c r="J26" s="44">
        <f t="shared" si="3"/>
        <v>15907.759200000002</v>
      </c>
      <c r="K26" s="44">
        <f t="shared" si="15"/>
        <v>0</v>
      </c>
      <c r="L26" s="44">
        <f t="shared" si="16"/>
        <v>15907.759200000002</v>
      </c>
      <c r="M26" s="46">
        <v>0</v>
      </c>
      <c r="N26" s="46"/>
      <c r="O26" s="47">
        <f>IF(B26=0,0,IF(B26&lt;='Eingabe Immodaten'!$C$28,'Eingabe Immodaten'!$C$30,'Eingabe Immodaten'!$C$33))</f>
        <v>4.3600000000000003</v>
      </c>
      <c r="P26" s="44">
        <f t="shared" si="4"/>
        <v>4664.0675546411794</v>
      </c>
      <c r="Q26" s="44">
        <f t="shared" si="5"/>
        <v>11243.691645358824</v>
      </c>
      <c r="R26" s="44">
        <f>IF(B26=0,0,IF(B26&lt;='Eingabe Immodaten'!$H$6,'Eingabe Immodaten'!$H$7,'Eingabe Immodaten'!$H$10))</f>
        <v>2.5299999999999998</v>
      </c>
      <c r="S26" s="44">
        <f t="shared" si="6"/>
        <v>6.0756369692976494E-8</v>
      </c>
      <c r="T26" s="44">
        <f t="shared" si="17"/>
        <v>-6.0756369692976494E-8</v>
      </c>
      <c r="U26" s="44">
        <f t="shared" si="7"/>
        <v>95730.334837337025</v>
      </c>
      <c r="V26" s="44">
        <f t="shared" si="8"/>
        <v>2.5621939069647751E-6</v>
      </c>
      <c r="W26" s="44">
        <f t="shared" si="9"/>
        <v>95730.334839899224</v>
      </c>
      <c r="X26" s="44">
        <f>IF(B26=0,0,'Eingabe Immodaten'!$H$14)</f>
        <v>215104.92000000004</v>
      </c>
      <c r="Y26" s="93">
        <f>IF(B26=0,0,IF(Z25=0,0,('Eingabe Immodaten'!$H$15)))</f>
        <v>3.5</v>
      </c>
      <c r="Z26" s="93">
        <f>IF(B26=0,0,IF(Z25+1&gt;99,0,Z25+Tabelle12[[#This Row],[Spalte23]]))</f>
        <v>70</v>
      </c>
      <c r="AA26" s="44">
        <f t="shared" si="10"/>
        <v>7528.6722000000018</v>
      </c>
      <c r="AB26" s="44">
        <f>IF(B26=0,0,IF(B26&lt;13,'Eingabe Immodaten'!$H$16,0))</f>
        <v>0</v>
      </c>
      <c r="AC26" s="44">
        <f t="shared" si="11"/>
        <v>0</v>
      </c>
      <c r="AD26" s="44">
        <f t="shared" si="18"/>
        <v>0</v>
      </c>
      <c r="AE26" s="44">
        <f>IF(B26=0,0,IF(B26&lt;='Eingabe Immodaten'!$C$28,IF('Eingabe Immodaten'!$C$29&gt;5,'Eingabe Immodaten'!$C$29/100*'Eingabe Immodaten'!$C$23/'Eingabe Immodaten'!$C$28,0),0))</f>
        <v>0</v>
      </c>
      <c r="AF26" s="44">
        <f>(G26-P26-S26-AA26-AD26)*'Eingabe Immodaten'!$H$19</f>
        <v>2413.2744305717515</v>
      </c>
      <c r="AG26" s="44">
        <f t="shared" si="12"/>
        <v>59.589279442367115</v>
      </c>
      <c r="AH26" s="44"/>
      <c r="AI26" s="44">
        <f>IF(B26='Eingabe Immodaten'!$H$28,U26,0)</f>
        <v>0</v>
      </c>
      <c r="AJ26" s="44">
        <f t="shared" si="13"/>
        <v>15967.348479442369</v>
      </c>
      <c r="AK26" s="44">
        <f t="shared" si="14"/>
        <v>59.589279442367115</v>
      </c>
      <c r="AL26" s="48">
        <f t="shared" si="19"/>
        <v>4.9657732868639259</v>
      </c>
      <c r="AM26" s="44">
        <f t="shared" si="20"/>
        <v>-44443.230694573751</v>
      </c>
      <c r="AN26" s="44">
        <f>IF(B26=0,0,D26*(1+'Eingabe Immodaten'!$C$15/100))*'Eingabe Immodaten'!H22</f>
        <v>457502.42463164002</v>
      </c>
      <c r="AO26" s="44">
        <f>IF(D26=0,0,AN26-W26+Tabelle12[[#This Row],[Spalte36]])</f>
        <v>317328.85909716703</v>
      </c>
      <c r="AP26" s="44">
        <f>IF(B26='Eingabe Immodaten'!$H$28,Ergebnistabelle!D26*'Eingabe Immodaten'!$H$22,0)</f>
        <v>0</v>
      </c>
      <c r="AQ26" s="44">
        <f>IF(B26='Eingabe Immodaten'!$H$28,Ergebnistabelle!AM26,0)</f>
        <v>0</v>
      </c>
      <c r="AR26" s="44">
        <f>IF(B26='Eingabe Immodaten'!$H$28,Ergebnistabelle!AO26,0)</f>
        <v>0</v>
      </c>
      <c r="AS26" s="44">
        <f>IF(B26='Eingabe Immodaten'!$H$28,Ergebnistabelle!W26,0)</f>
        <v>0</v>
      </c>
      <c r="AT26" s="44">
        <f>IF(B26='Eingabe Immodaten'!$H$28,Ergebnistabelle!G26,0)</f>
        <v>0</v>
      </c>
      <c r="AU26" s="44">
        <f>IF(B26='Eingabe Immodaten'!$H$28,Ergebnistabelle!L26,0)</f>
        <v>0</v>
      </c>
      <c r="AV26" s="191"/>
      <c r="AW26" s="191"/>
      <c r="AX26" s="191"/>
      <c r="AY26" s="191"/>
      <c r="AZ26" s="191"/>
      <c r="BA26" s="191"/>
      <c r="BB26" s="191"/>
      <c r="BC26" s="191"/>
      <c r="BD26" s="191"/>
      <c r="BE26" s="191"/>
      <c r="BF26" s="191"/>
      <c r="BG26" s="191"/>
      <c r="BH26" s="191"/>
      <c r="BI26" s="191"/>
      <c r="BJ26" s="191"/>
      <c r="BK26" s="191"/>
      <c r="BL26" s="191"/>
      <c r="BM26" s="191"/>
    </row>
    <row r="27" spans="1:65">
      <c r="A27" s="191"/>
      <c r="B27" s="45">
        <f>IF(B26=0,0,IF(B26+1&gt;'Eingabe Immodaten'!$H$28,0,B26+1))</f>
        <v>21</v>
      </c>
      <c r="C27" s="49">
        <f t="shared" si="1"/>
        <v>1715.8056729359439</v>
      </c>
      <c r="D27" s="44">
        <f>IF(B27=0,0,D26*(1+'Eingabe Immodaten'!$C$15/100))</f>
        <v>20589.668075231326</v>
      </c>
      <c r="E27" s="44">
        <f t="shared" si="0"/>
        <v>326911.93724960863</v>
      </c>
      <c r="F27" s="44">
        <f>IF(B27=0,0,F26*(1+'Eingabe Immodaten'!$C$16/100))</f>
        <v>1625.439556015486</v>
      </c>
      <c r="G27" s="44">
        <f t="shared" si="2"/>
        <v>18964.228519215842</v>
      </c>
      <c r="H27" s="44">
        <f>IF(B27=0,0,IF(B27&lt;='Eingabe Immodaten'!$C$28,'Eingabe Immodaten'!$C$32,'Eingabe Immodaten'!$C$34))</f>
        <v>15907.759200000002</v>
      </c>
      <c r="I27" s="44">
        <f>IF(B27=0,0,IF(B27&lt;='Eingabe Immodaten'!$H$6,'Eingabe Immodaten'!$H$9,'Eingabe Immodaten'!$H$11))</f>
        <v>0</v>
      </c>
      <c r="J27" s="44">
        <f t="shared" si="3"/>
        <v>15907.759200000002</v>
      </c>
      <c r="K27" s="44">
        <f t="shared" si="15"/>
        <v>0</v>
      </c>
      <c r="L27" s="44">
        <f t="shared" si="16"/>
        <v>15907.759200000002</v>
      </c>
      <c r="M27" s="46">
        <v>0</v>
      </c>
      <c r="N27" s="46">
        <v>0</v>
      </c>
      <c r="O27" s="47">
        <f>IF(B27=0,0,IF(B27&lt;='Eingabe Immodaten'!$C$28,'Eingabe Immodaten'!$C$30,'Eingabe Immodaten'!$C$33))</f>
        <v>4.3600000000000003</v>
      </c>
      <c r="P27" s="44">
        <f t="shared" si="4"/>
        <v>4173.8425989078942</v>
      </c>
      <c r="Q27" s="44">
        <f t="shared" si="5"/>
        <v>11733.916601092107</v>
      </c>
      <c r="R27" s="44">
        <f>IF(B27=0,0,IF(B27&lt;='Eingabe Immodaten'!$H$6,'Eingabe Immodaten'!$H$7,'Eingabe Immodaten'!$H$10))</f>
        <v>2.5299999999999998</v>
      </c>
      <c r="S27" s="44">
        <f t="shared" si="6"/>
        <v>6.48235058462088E-8</v>
      </c>
      <c r="T27" s="44">
        <f t="shared" si="17"/>
        <v>-6.48235058462088E-8</v>
      </c>
      <c r="U27" s="44">
        <f t="shared" si="7"/>
        <v>83996.418236344922</v>
      </c>
      <c r="V27" s="44">
        <f t="shared" si="8"/>
        <v>2.7270174128109836E-6</v>
      </c>
      <c r="W27" s="44">
        <f t="shared" si="9"/>
        <v>83996.418239071936</v>
      </c>
      <c r="X27" s="44">
        <f>IF(B27=0,0,'Eingabe Immodaten'!$H$14)</f>
        <v>215104.92000000004</v>
      </c>
      <c r="Y27" s="93">
        <f>IF(B27=0,0,IF(Z26=0,0,('Eingabe Immodaten'!$H$15)))</f>
        <v>3.5</v>
      </c>
      <c r="Z27" s="93">
        <f>IF(B27=0,0,IF(Z26+1&gt;99,0,Z26+Tabelle12[[#This Row],[Spalte23]]))</f>
        <v>73.5</v>
      </c>
      <c r="AA27" s="44">
        <f t="shared" si="10"/>
        <v>7528.6722000000018</v>
      </c>
      <c r="AB27" s="44"/>
      <c r="AC27" s="44"/>
      <c r="AD27" s="44"/>
      <c r="AE27" s="44">
        <f>IF(B27=0,0,IF(B27&lt;='Eingabe Immodaten'!$C$28,IF('Eingabe Immodaten'!$C$29&gt;5,'Eingabe Immodaten'!$C$29/100*'Eingabe Immodaten'!$C$23/'Eingabe Immodaten'!$C$28,0),0))</f>
        <v>0</v>
      </c>
      <c r="AF27" s="44">
        <f>(G27-P27-S27-AA27-AD27)*'Eingabe Immodaten'!$H$19</f>
        <v>2832.0683508948182</v>
      </c>
      <c r="AG27" s="44">
        <f t="shared" si="12"/>
        <v>224.40096832102063</v>
      </c>
      <c r="AH27" s="44"/>
      <c r="AI27" s="44">
        <f>IF(B27='Eingabe Immodaten'!$H$28,U27,0)</f>
        <v>0</v>
      </c>
      <c r="AJ27" s="44">
        <f t="shared" si="13"/>
        <v>16132.160168321023</v>
      </c>
      <c r="AK27" s="44">
        <f t="shared" si="14"/>
        <v>224.40096832102063</v>
      </c>
      <c r="AL27" s="48">
        <f t="shared" si="19"/>
        <v>18.700080693418386</v>
      </c>
      <c r="AM27" s="44">
        <f t="shared" si="20"/>
        <v>-44218.829726252734</v>
      </c>
      <c r="AN27" s="44">
        <f>IF(B27=0,0,D27*(1+'Eingabe Immodaten'!$C$15/100))*'Eingabe Immodaten'!H22</f>
        <v>471227.49737058929</v>
      </c>
      <c r="AO27" s="44">
        <f>IF(D27=0,0,AN27-W27+Tabelle12[[#This Row],[Spalte36]])</f>
        <v>343012.24940526462</v>
      </c>
      <c r="AP27" s="44">
        <f>IF(B27='Eingabe Immodaten'!$H$28,Ergebnistabelle!D27*'Eingabe Immodaten'!$H$22,0)</f>
        <v>0</v>
      </c>
      <c r="AQ27" s="44">
        <f>IF(B27='Eingabe Immodaten'!$H$28,Ergebnistabelle!AM27,0)</f>
        <v>0</v>
      </c>
      <c r="AR27" s="44">
        <f>IF(B27='Eingabe Immodaten'!$H$28,Ergebnistabelle!AO27,0)</f>
        <v>0</v>
      </c>
      <c r="AS27" s="44">
        <f>IF(B27='Eingabe Immodaten'!$H$28,Ergebnistabelle!W27,0)</f>
        <v>0</v>
      </c>
      <c r="AT27" s="44">
        <f>IF(B27='Eingabe Immodaten'!$H$28,Ergebnistabelle!G27,0)</f>
        <v>0</v>
      </c>
      <c r="AU27" s="44">
        <f>IF(B27='Eingabe Immodaten'!$H$28,Ergebnistabelle!L27,0)</f>
        <v>0</v>
      </c>
      <c r="AV27" s="191"/>
      <c r="AW27" s="191"/>
      <c r="AX27" s="191"/>
      <c r="AY27" s="191"/>
      <c r="AZ27" s="191"/>
      <c r="BA27" s="191"/>
      <c r="BB27" s="191"/>
      <c r="BC27" s="191"/>
      <c r="BD27" s="191"/>
      <c r="BE27" s="191"/>
      <c r="BF27" s="191"/>
      <c r="BG27" s="191"/>
      <c r="BH27" s="191"/>
      <c r="BI27" s="191"/>
      <c r="BJ27" s="191"/>
      <c r="BK27" s="191"/>
      <c r="BL27" s="191"/>
      <c r="BM27" s="191"/>
    </row>
    <row r="28" spans="1:65">
      <c r="A28" s="191"/>
      <c r="B28" s="45">
        <f>IF(B27=0,0,IF(B27+1&gt;'Eingabe Immodaten'!$H$28,0,B27+1))</f>
        <v>22</v>
      </c>
      <c r="C28" s="49">
        <f t="shared" si="1"/>
        <v>1767.2798431240224</v>
      </c>
      <c r="D28" s="44">
        <f>IF(B28=0,0,D27*(1+'Eingabe Immodaten'!$C$15/100))</f>
        <v>21207.358117488267</v>
      </c>
      <c r="E28" s="44">
        <f t="shared" si="0"/>
        <v>348119.2953670969</v>
      </c>
      <c r="F28" s="44">
        <f>IF(B28=0,0,F27*(1+'Eingabe Immodaten'!$C$16/100))</f>
        <v>1641.6939515756408</v>
      </c>
      <c r="G28" s="44">
        <f t="shared" si="2"/>
        <v>19565.664165912625</v>
      </c>
      <c r="H28" s="44">
        <f>IF(B28=0,0,IF(B28&lt;='Eingabe Immodaten'!$C$28,'Eingabe Immodaten'!$C$32,'Eingabe Immodaten'!$C$34))</f>
        <v>15907.759200000002</v>
      </c>
      <c r="I28" s="44">
        <f>IF(B28=0,0,IF(B28&lt;='Eingabe Immodaten'!$H$6,'Eingabe Immodaten'!$H$9,'Eingabe Immodaten'!$H$11))</f>
        <v>0</v>
      </c>
      <c r="J28" s="44">
        <f t="shared" si="3"/>
        <v>15907.759200000002</v>
      </c>
      <c r="K28" s="44">
        <f t="shared" si="15"/>
        <v>0</v>
      </c>
      <c r="L28" s="44">
        <f t="shared" si="16"/>
        <v>15907.759200000002</v>
      </c>
      <c r="M28" s="46"/>
      <c r="N28" s="46"/>
      <c r="O28" s="47">
        <f>IF(B28=0,0,IF(B28&lt;='Eingabe Immodaten'!$C$28,'Eingabe Immodaten'!$C$30,'Eingabe Immodaten'!$C$33))</f>
        <v>4.3600000000000003</v>
      </c>
      <c r="P28" s="44">
        <f t="shared" si="4"/>
        <v>3662.2438351046385</v>
      </c>
      <c r="Q28" s="44">
        <f t="shared" si="5"/>
        <v>12245.515364895364</v>
      </c>
      <c r="R28" s="44">
        <f>IF(B28=0,0,IF(B28&lt;='Eingabe Immodaten'!$H$6,'Eingabe Immodaten'!$H$7,'Eingabe Immodaten'!$H$10))</f>
        <v>2.5299999999999998</v>
      </c>
      <c r="S28" s="44">
        <f t="shared" si="6"/>
        <v>6.8993540544117886E-8</v>
      </c>
      <c r="T28" s="44">
        <f t="shared" si="17"/>
        <v>-6.8993540544117886E-8</v>
      </c>
      <c r="U28" s="44">
        <f t="shared" si="7"/>
        <v>71750.902871549566</v>
      </c>
      <c r="V28" s="44">
        <f t="shared" si="8"/>
        <v>2.8960109533551013E-6</v>
      </c>
      <c r="W28" s="44">
        <f t="shared" si="9"/>
        <v>71750.902874445572</v>
      </c>
      <c r="X28" s="44">
        <f>IF(B28=0,0,'Eingabe Immodaten'!$H$14)</f>
        <v>215104.92000000004</v>
      </c>
      <c r="Y28" s="93">
        <f>IF(B28=0,0,IF(Z27=0,0,('Eingabe Immodaten'!$H$15)))</f>
        <v>3.5</v>
      </c>
      <c r="Z28" s="93">
        <f>IF(B28=0,0,IF(Z27+1&gt;99,0,Z27+Tabelle12[[#This Row],[Spalte23]]))</f>
        <v>77</v>
      </c>
      <c r="AA28" s="44">
        <f t="shared" si="10"/>
        <v>7528.6722000000018</v>
      </c>
      <c r="AB28" s="44"/>
      <c r="AC28" s="44"/>
      <c r="AD28" s="44"/>
      <c r="AE28" s="44">
        <f>IF(B28=0,0,IF(B28&lt;='Eingabe Immodaten'!$C$28,IF('Eingabe Immodaten'!$C$29&gt;5,'Eingabe Immodaten'!$C$29/100*'Eingabe Immodaten'!$C$23/'Eingabe Immodaten'!$C$28,0),0))</f>
        <v>0</v>
      </c>
      <c r="AF28" s="44">
        <f>(G28-P28-S28-AA28-AD28)*'Eingabe Immodaten'!$H$19</f>
        <v>3266.151770988206</v>
      </c>
      <c r="AG28" s="44">
        <f t="shared" si="12"/>
        <v>391.75319492441668</v>
      </c>
      <c r="AH28" s="44"/>
      <c r="AI28" s="44">
        <f>IF(B28='Eingabe Immodaten'!$H$28,U28,0)</f>
        <v>0</v>
      </c>
      <c r="AJ28" s="44">
        <f t="shared" si="13"/>
        <v>16299.512394924419</v>
      </c>
      <c r="AK28" s="44">
        <f t="shared" si="14"/>
        <v>391.75319492441668</v>
      </c>
      <c r="AL28" s="48">
        <f t="shared" si="19"/>
        <v>32.646099577034725</v>
      </c>
      <c r="AM28" s="44">
        <f t="shared" si="20"/>
        <v>-43827.076531328319</v>
      </c>
      <c r="AN28" s="44">
        <f>IF(B28=0,0,D28*(1+'Eingabe Immodaten'!$C$15/100))*'Eingabe Immodaten'!H22</f>
        <v>485364.32229170698</v>
      </c>
      <c r="AO28" s="44">
        <f>IF(D28=0,0,AN28-W28+Tabelle12[[#This Row],[Spalte36]])</f>
        <v>369786.34288593306</v>
      </c>
      <c r="AP28" s="44">
        <f>IF(B28='Eingabe Immodaten'!$H$28,Ergebnistabelle!D28*'Eingabe Immodaten'!$H$22,0)</f>
        <v>0</v>
      </c>
      <c r="AQ28" s="44">
        <f>IF(B28='Eingabe Immodaten'!$H$28,Ergebnistabelle!AM28,0)</f>
        <v>0</v>
      </c>
      <c r="AR28" s="44">
        <f>IF(B28='Eingabe Immodaten'!$H$28,Ergebnistabelle!AO28,0)</f>
        <v>0</v>
      </c>
      <c r="AS28" s="44">
        <f>IF(B28='Eingabe Immodaten'!$H$28,Ergebnistabelle!W28,0)</f>
        <v>0</v>
      </c>
      <c r="AT28" s="44">
        <f>IF(B28='Eingabe Immodaten'!$H$28,Ergebnistabelle!G28,0)</f>
        <v>0</v>
      </c>
      <c r="AU28" s="44">
        <f>IF(B28='Eingabe Immodaten'!$H$28,Ergebnistabelle!L28,0)</f>
        <v>0</v>
      </c>
      <c r="AV28" s="191"/>
      <c r="AW28" s="191"/>
      <c r="AX28" s="191"/>
      <c r="AY28" s="191"/>
      <c r="AZ28" s="191"/>
      <c r="BA28" s="191"/>
      <c r="BB28" s="191"/>
      <c r="BC28" s="191"/>
      <c r="BD28" s="191"/>
      <c r="BE28" s="191"/>
      <c r="BF28" s="191"/>
      <c r="BG28" s="191"/>
      <c r="BH28" s="191"/>
      <c r="BI28" s="191"/>
      <c r="BJ28" s="191"/>
      <c r="BK28" s="191"/>
      <c r="BL28" s="191"/>
      <c r="BM28" s="191"/>
    </row>
    <row r="29" spans="1:65">
      <c r="A29" s="191"/>
      <c r="B29" s="45">
        <f>IF(B28=0,0,IF(B28+1&gt;'Eingabe Immodaten'!$H$28,0,B28+1))</f>
        <v>23</v>
      </c>
      <c r="C29" s="49">
        <f t="shared" si="1"/>
        <v>1820.2982384177431</v>
      </c>
      <c r="D29" s="44">
        <f>IF(B29=0,0,D28*(1+'Eingabe Immodaten'!$C$15/100))</f>
        <v>21843.578861012917</v>
      </c>
      <c r="E29" s="44">
        <f t="shared" si="0"/>
        <v>369962.87422810984</v>
      </c>
      <c r="F29" s="44">
        <f>IF(B29=0,0,F28*(1+'Eingabe Immodaten'!$C$16/100))</f>
        <v>1658.1108910913972</v>
      </c>
      <c r="G29" s="44">
        <f t="shared" si="2"/>
        <v>20185.467969921519</v>
      </c>
      <c r="H29" s="44">
        <f>IF(B29=0,0,IF(B29&lt;='Eingabe Immodaten'!$C$28,'Eingabe Immodaten'!$C$32,'Eingabe Immodaten'!$C$34))</f>
        <v>15907.759200000002</v>
      </c>
      <c r="I29" s="44">
        <f>IF(B29=0,0,IF(B29&lt;='Eingabe Immodaten'!$H$6,'Eingabe Immodaten'!$H$9,'Eingabe Immodaten'!$H$11))</f>
        <v>0</v>
      </c>
      <c r="J29" s="44">
        <f t="shared" si="3"/>
        <v>15907.759200000002</v>
      </c>
      <c r="K29" s="44">
        <f t="shared" si="15"/>
        <v>0</v>
      </c>
      <c r="L29" s="44">
        <f t="shared" si="16"/>
        <v>15907.759200000002</v>
      </c>
      <c r="M29" s="46"/>
      <c r="N29" s="46"/>
      <c r="O29" s="47">
        <f>IF(B29=0,0,IF(B29&lt;='Eingabe Immodaten'!$C$28,'Eingabe Immodaten'!$C$30,'Eingabe Immodaten'!$C$33))</f>
        <v>4.3600000000000003</v>
      </c>
      <c r="P29" s="44">
        <f t="shared" si="4"/>
        <v>3128.3393651995616</v>
      </c>
      <c r="Q29" s="44">
        <f t="shared" si="5"/>
        <v>12779.419834800441</v>
      </c>
      <c r="R29" s="44">
        <f>IF(B29=0,0,IF(B29&lt;='Eingabe Immodaten'!$H$6,'Eingabe Immodaten'!$H$7,'Eingabe Immodaten'!$H$10))</f>
        <v>2.5299999999999998</v>
      </c>
      <c r="S29" s="44">
        <f t="shared" si="6"/>
        <v>7.3269077119884061E-8</v>
      </c>
      <c r="T29" s="44">
        <f t="shared" si="17"/>
        <v>-7.3269077119884061E-8</v>
      </c>
      <c r="U29" s="44">
        <f t="shared" si="7"/>
        <v>58971.483036849124</v>
      </c>
      <c r="V29" s="44">
        <f t="shared" si="8"/>
        <v>3.0692800304749853E-6</v>
      </c>
      <c r="W29" s="44">
        <f t="shared" si="9"/>
        <v>58971.483039918407</v>
      </c>
      <c r="X29" s="44">
        <f>IF(B29=0,0,'Eingabe Immodaten'!$H$14)</f>
        <v>215104.92000000004</v>
      </c>
      <c r="Y29" s="93">
        <f>IF(B29=0,0,IF(Z28=0,0,('Eingabe Immodaten'!$H$15)))</f>
        <v>3.5</v>
      </c>
      <c r="Z29" s="93">
        <f>IF(B29=0,0,IF(Z28+1&gt;99,0,Z28+Tabelle12[[#This Row],[Spalte23]]))</f>
        <v>80.5</v>
      </c>
      <c r="AA29" s="44">
        <f t="shared" si="10"/>
        <v>7528.6722000000018</v>
      </c>
      <c r="AB29" s="44"/>
      <c r="AC29" s="44"/>
      <c r="AD29" s="44"/>
      <c r="AE29" s="44">
        <f>IF(B29=0,0,IF(B29&lt;='Eingabe Immodaten'!$C$28,IF('Eingabe Immodaten'!$C$29&gt;5,'Eingabe Immodaten'!$C$29/100*'Eingabe Immodaten'!$C$23/'Eingabe Immodaten'!$C$28,0),0))</f>
        <v>0</v>
      </c>
      <c r="AF29" s="44">
        <f>(G29-P29-S29-AA29-AD29)*'Eingabe Immodaten'!$H$19</f>
        <v>3716.0979978129885</v>
      </c>
      <c r="AG29" s="44">
        <f t="shared" si="12"/>
        <v>561.61077210853</v>
      </c>
      <c r="AH29" s="44"/>
      <c r="AI29" s="44">
        <f>IF(B29='Eingabe Immodaten'!$H$28,U29,0)</f>
        <v>0</v>
      </c>
      <c r="AJ29" s="44">
        <f t="shared" si="13"/>
        <v>16469.369972108532</v>
      </c>
      <c r="AK29" s="44">
        <f t="shared" si="14"/>
        <v>561.61077210853</v>
      </c>
      <c r="AL29" s="48">
        <f t="shared" si="19"/>
        <v>46.800897675710836</v>
      </c>
      <c r="AM29" s="44">
        <f t="shared" si="20"/>
        <v>-43265.465759219791</v>
      </c>
      <c r="AN29" s="44">
        <f>IF(B29=0,0,D29*(1+'Eingabe Immodaten'!$C$15/100))*'Eingabe Immodaten'!H22</f>
        <v>499925.25196045818</v>
      </c>
      <c r="AO29" s="44">
        <f>IF(D29=0,0,AN29-W29+Tabelle12[[#This Row],[Spalte36]])</f>
        <v>397688.30316131999</v>
      </c>
      <c r="AP29" s="44">
        <f>IF(B29='Eingabe Immodaten'!$H$28,Ergebnistabelle!D29*'Eingabe Immodaten'!$H$22,0)</f>
        <v>0</v>
      </c>
      <c r="AQ29" s="44">
        <f>IF(B29='Eingabe Immodaten'!$H$28,Ergebnistabelle!AM29,0)</f>
        <v>0</v>
      </c>
      <c r="AR29" s="44">
        <f>IF(B29='Eingabe Immodaten'!$H$28,Ergebnistabelle!AO29,0)</f>
        <v>0</v>
      </c>
      <c r="AS29" s="44">
        <f>IF(B29='Eingabe Immodaten'!$H$28,Ergebnistabelle!W29,0)</f>
        <v>0</v>
      </c>
      <c r="AT29" s="44">
        <f>IF(B29='Eingabe Immodaten'!$H$28,Ergebnistabelle!G29,0)</f>
        <v>0</v>
      </c>
      <c r="AU29" s="44">
        <f>IF(B29='Eingabe Immodaten'!$H$28,Ergebnistabelle!L29,0)</f>
        <v>0</v>
      </c>
      <c r="AV29" s="191"/>
      <c r="AW29" s="191"/>
      <c r="AX29" s="191"/>
      <c r="AY29" s="191"/>
      <c r="AZ29" s="191"/>
      <c r="BA29" s="191"/>
      <c r="BB29" s="191"/>
      <c r="BC29" s="191"/>
      <c r="BD29" s="191"/>
      <c r="BE29" s="191"/>
      <c r="BF29" s="191"/>
      <c r="BG29" s="191"/>
      <c r="BH29" s="191"/>
      <c r="BI29" s="191"/>
      <c r="BJ29" s="191"/>
      <c r="BK29" s="191"/>
      <c r="BL29" s="191"/>
      <c r="BM29" s="191"/>
    </row>
    <row r="30" spans="1:65">
      <c r="A30" s="191"/>
      <c r="B30" s="45">
        <f>IF(B29=0,0,IF(B29+1&gt;'Eingabe Immodaten'!$H$28,0,B29+1))</f>
        <v>24</v>
      </c>
      <c r="C30" s="49">
        <f t="shared" si="1"/>
        <v>1874.9071855702753</v>
      </c>
      <c r="D30" s="44">
        <f>IF(B30=0,0,D29*(1+'Eingabe Immodaten'!$C$15/100))</f>
        <v>22498.886226843304</v>
      </c>
      <c r="E30" s="44">
        <f t="shared" si="0"/>
        <v>392461.76045495312</v>
      </c>
      <c r="F30" s="44">
        <f>IF(B30=0,0,F29*(1+'Eingabe Immodaten'!$C$16/100))</f>
        <v>1674.6920000023113</v>
      </c>
      <c r="G30" s="44">
        <f t="shared" si="2"/>
        <v>20824.194226840991</v>
      </c>
      <c r="H30" s="44">
        <f>IF(B30=0,0,IF(B30&lt;='Eingabe Immodaten'!$C$28,'Eingabe Immodaten'!$C$32,'Eingabe Immodaten'!$C$34))</f>
        <v>15907.759200000002</v>
      </c>
      <c r="I30" s="44">
        <f>IF(B30=0,0,IF(B30&lt;='Eingabe Immodaten'!$H$6,'Eingabe Immodaten'!$H$9,'Eingabe Immodaten'!$H$11))</f>
        <v>0</v>
      </c>
      <c r="J30" s="44">
        <f t="shared" si="3"/>
        <v>15907.759200000002</v>
      </c>
      <c r="K30" s="44">
        <f t="shared" si="15"/>
        <v>0</v>
      </c>
      <c r="L30" s="44">
        <f t="shared" si="16"/>
        <v>15907.759200000002</v>
      </c>
      <c r="M30" s="46"/>
      <c r="N30" s="46"/>
      <c r="O30" s="47">
        <f>IF(B30=0,0,IF(B30&lt;='Eingabe Immodaten'!$C$28,'Eingabe Immodaten'!$C$30,'Eingabe Immodaten'!$C$33))</f>
        <v>4.3600000000000003</v>
      </c>
      <c r="P30" s="44">
        <f t="shared" si="4"/>
        <v>2571.156660406622</v>
      </c>
      <c r="Q30" s="44">
        <f t="shared" si="5"/>
        <v>13336.602539593379</v>
      </c>
      <c r="R30" s="44">
        <f>IF(B30=0,0,IF(B30&lt;='Eingabe Immodaten'!$H$6,'Eingabe Immodaten'!$H$7,'Eingabe Immodaten'!$H$10))</f>
        <v>2.5299999999999998</v>
      </c>
      <c r="S30" s="44">
        <f t="shared" si="6"/>
        <v>7.7652784771017125E-8</v>
      </c>
      <c r="T30" s="44">
        <f t="shared" si="17"/>
        <v>-7.7652784771017125E-8</v>
      </c>
      <c r="U30" s="44">
        <f t="shared" si="7"/>
        <v>45634.880497355742</v>
      </c>
      <c r="V30" s="44">
        <f t="shared" si="8"/>
        <v>3.2469328152460024E-6</v>
      </c>
      <c r="W30" s="44">
        <f t="shared" si="9"/>
        <v>45634.880500602674</v>
      </c>
      <c r="X30" s="44">
        <f>IF(B30=0,0,'Eingabe Immodaten'!$H$14)</f>
        <v>215104.92000000004</v>
      </c>
      <c r="Y30" s="93">
        <f>IF(B30=0,0,IF(Z29=0,0,('Eingabe Immodaten'!$H$15)))</f>
        <v>3.5</v>
      </c>
      <c r="Z30" s="93">
        <f>IF(B30=0,0,IF(Z29+1&gt;99,0,Z29+Tabelle12[[#This Row],[Spalte23]]))</f>
        <v>84</v>
      </c>
      <c r="AA30" s="44">
        <f t="shared" si="10"/>
        <v>7528.6722000000018</v>
      </c>
      <c r="AB30" s="44"/>
      <c r="AC30" s="44"/>
      <c r="AD30" s="44"/>
      <c r="AE30" s="44">
        <f>IF(B30=0,0,IF(B30&lt;='Eingabe Immodaten'!$C$28,IF('Eingabe Immodaten'!$C$29&gt;5,'Eingabe Immodaten'!$C$29/100*'Eingabe Immodaten'!$C$23/'Eingabe Immodaten'!$C$28,0),0))</f>
        <v>0</v>
      </c>
      <c r="AF30" s="44">
        <f>(G30-P30-S30-AA30-AD30)*'Eingabe Immodaten'!$H$19</f>
        <v>4182.5024928791199</v>
      </c>
      <c r="AG30" s="44">
        <f t="shared" si="12"/>
        <v>733.9325339618681</v>
      </c>
      <c r="AH30" s="44"/>
      <c r="AI30" s="44">
        <f>IF(B30='Eingabe Immodaten'!$H$28,U30,0)</f>
        <v>0</v>
      </c>
      <c r="AJ30" s="44">
        <f t="shared" si="13"/>
        <v>16641.69173396187</v>
      </c>
      <c r="AK30" s="44">
        <f t="shared" si="14"/>
        <v>733.9325339618681</v>
      </c>
      <c r="AL30" s="48">
        <f t="shared" si="19"/>
        <v>61.161044496822342</v>
      </c>
      <c r="AM30" s="44">
        <f t="shared" si="20"/>
        <v>-42531.533225257925</v>
      </c>
      <c r="AN30" s="44">
        <f>IF(B30=0,0,D30*(1+'Eingabe Immodaten'!$C$15/100))*'Eingabe Immodaten'!H22</f>
        <v>514923.0095192719</v>
      </c>
      <c r="AO30" s="44">
        <f>IF(D30=0,0,AN30-W30+Tabelle12[[#This Row],[Spalte36]])</f>
        <v>426756.59579341131</v>
      </c>
      <c r="AP30" s="44">
        <f>IF(B30='Eingabe Immodaten'!$H$28,Ergebnistabelle!D30*'Eingabe Immodaten'!$H$22,0)</f>
        <v>0</v>
      </c>
      <c r="AQ30" s="44">
        <f>IF(B30='Eingabe Immodaten'!$H$28,Ergebnistabelle!AM30,0)</f>
        <v>0</v>
      </c>
      <c r="AR30" s="44">
        <f>IF(B30='Eingabe Immodaten'!$H$28,Ergebnistabelle!AO30,0)</f>
        <v>0</v>
      </c>
      <c r="AS30" s="44">
        <f>IF(B30='Eingabe Immodaten'!$H$28,Ergebnistabelle!W30,0)</f>
        <v>0</v>
      </c>
      <c r="AT30" s="44">
        <f>IF(B30='Eingabe Immodaten'!$H$28,Ergebnistabelle!G30,0)</f>
        <v>0</v>
      </c>
      <c r="AU30" s="44">
        <f>IF(B30='Eingabe Immodaten'!$H$28,Ergebnistabelle!L30,0)</f>
        <v>0</v>
      </c>
      <c r="AV30" s="191"/>
      <c r="AW30" s="191"/>
      <c r="AX30" s="191"/>
      <c r="AY30" s="191"/>
      <c r="AZ30" s="191"/>
      <c r="BA30" s="191"/>
      <c r="BB30" s="191"/>
      <c r="BC30" s="191"/>
      <c r="BD30" s="191"/>
      <c r="BE30" s="191"/>
      <c r="BF30" s="191"/>
      <c r="BG30" s="191"/>
      <c r="BH30" s="191"/>
      <c r="BI30" s="191"/>
      <c r="BJ30" s="191"/>
      <c r="BK30" s="191"/>
      <c r="BL30" s="191"/>
      <c r="BM30" s="191"/>
    </row>
    <row r="31" spans="1:65">
      <c r="A31" s="191"/>
      <c r="B31" s="45">
        <f>IF(B30=0,0,IF(B30+1&gt;'Eingabe Immodaten'!$H$28,0,B30+1))</f>
        <v>25</v>
      </c>
      <c r="C31" s="49">
        <f t="shared" si="1"/>
        <v>1931.1544011373835</v>
      </c>
      <c r="D31" s="44">
        <f>IF(B31=0,0,D30*(1+'Eingabe Immodaten'!$C$15/100))</f>
        <v>23173.852813648602</v>
      </c>
      <c r="E31" s="44">
        <f t="shared" si="0"/>
        <v>415635.61326860171</v>
      </c>
      <c r="F31" s="44">
        <f>IF(B31=0,0,F30*(1+'Eingabe Immodaten'!$C$16/100))</f>
        <v>1691.4389200023345</v>
      </c>
      <c r="G31" s="44">
        <f t="shared" si="2"/>
        <v>21482.413893646266</v>
      </c>
      <c r="H31" s="44">
        <f>IF(B31=0,0,IF(B31&lt;='Eingabe Immodaten'!$C$28,'Eingabe Immodaten'!$C$32,'Eingabe Immodaten'!$C$34))</f>
        <v>15907.759200000002</v>
      </c>
      <c r="I31" s="44">
        <f>IF(B31=0,0,IF(B31&lt;='Eingabe Immodaten'!$H$6,'Eingabe Immodaten'!$H$9,'Eingabe Immodaten'!$H$11))</f>
        <v>0</v>
      </c>
      <c r="J31" s="44">
        <f t="shared" si="3"/>
        <v>15907.759200000002</v>
      </c>
      <c r="K31" s="44">
        <f t="shared" si="15"/>
        <v>0</v>
      </c>
      <c r="L31" s="44">
        <f t="shared" si="16"/>
        <v>15907.759200000002</v>
      </c>
      <c r="M31" s="46"/>
      <c r="N31" s="46"/>
      <c r="O31" s="47">
        <f>IF(B31=0,0,IF(B31&lt;='Eingabe Immodaten'!$C$28,'Eingabe Immodaten'!$C$30,'Eingabe Immodaten'!$C$33))</f>
        <v>4.3600000000000003</v>
      </c>
      <c r="P31" s="44">
        <f t="shared" si="4"/>
        <v>1989.6807896847106</v>
      </c>
      <c r="Q31" s="44">
        <f t="shared" si="5"/>
        <v>13918.078410315291</v>
      </c>
      <c r="R31" s="44">
        <f>IF(B31=0,0,IF(B31&lt;='Eingabe Immodaten'!$H$6,'Eingabe Immodaten'!$H$7,'Eingabe Immodaten'!$H$10))</f>
        <v>2.5299999999999998</v>
      </c>
      <c r="S31" s="44">
        <f t="shared" si="6"/>
        <v>8.2147400225723847E-8</v>
      </c>
      <c r="T31" s="44">
        <f t="shared" si="17"/>
        <v>-8.2147400225723847E-8</v>
      </c>
      <c r="U31" s="44">
        <f t="shared" si="7"/>
        <v>31716.802087140451</v>
      </c>
      <c r="V31" s="44">
        <f t="shared" si="8"/>
        <v>3.429080215471726E-6</v>
      </c>
      <c r="W31" s="44">
        <f t="shared" si="9"/>
        <v>31716.80209056953</v>
      </c>
      <c r="X31" s="44">
        <f>IF(B31=0,0,'Eingabe Immodaten'!$H$14)</f>
        <v>215104.92000000004</v>
      </c>
      <c r="Y31" s="93">
        <f>IF(B31=0,0,IF(Z30=0,0,('Eingabe Immodaten'!$H$15)))</f>
        <v>3.5</v>
      </c>
      <c r="Z31" s="93">
        <f>IF(B31=0,0,IF(Z30+1&gt;99,0,Z30+Tabelle12[[#This Row],[Spalte23]]))</f>
        <v>87.5</v>
      </c>
      <c r="AA31" s="44">
        <f t="shared" si="10"/>
        <v>7528.6722000000018</v>
      </c>
      <c r="AB31" s="44"/>
      <c r="AC31" s="44"/>
      <c r="AD31" s="44"/>
      <c r="AE31" s="44">
        <f>IF(B31=0,0,IF(B31&lt;='Eingabe Immodaten'!$C$28,IF('Eingabe Immodaten'!$C$29&gt;5,'Eingabe Immodaten'!$C$29/100*'Eingabe Immodaten'!$C$23/'Eingabe Immodaten'!$C$28,0),0))</f>
        <v>0</v>
      </c>
      <c r="AF31" s="44">
        <f>(G31-P31-S31-AA31-AD31)*'Eingabe Immodaten'!$H$19</f>
        <v>4665.9837525129687</v>
      </c>
      <c r="AG31" s="44">
        <f t="shared" si="12"/>
        <v>908.67094113329404</v>
      </c>
      <c r="AH31" s="44"/>
      <c r="AI31" s="44">
        <f>IF(B31='Eingabe Immodaten'!$H$28,U31,0)</f>
        <v>0</v>
      </c>
      <c r="AJ31" s="44">
        <f t="shared" si="13"/>
        <v>16816.430141133296</v>
      </c>
      <c r="AK31" s="44">
        <f t="shared" si="14"/>
        <v>908.67094113329404</v>
      </c>
      <c r="AL31" s="48">
        <f t="shared" si="19"/>
        <v>75.722578427774508</v>
      </c>
      <c r="AM31" s="44">
        <f t="shared" si="20"/>
        <v>-41622.862284124632</v>
      </c>
      <c r="AN31" s="44">
        <f>IF(B31=0,0,D31*(1+'Eingabe Immodaten'!$C$15/100))*'Eingabe Immodaten'!H22</f>
        <v>530370.69980485016</v>
      </c>
      <c r="AO31" s="44">
        <f>IF(D31=0,0,AN31-W31+Tabelle12[[#This Row],[Spalte36]])</f>
        <v>457031.03543015599</v>
      </c>
      <c r="AP31" s="44">
        <f>IF(B31='Eingabe Immodaten'!$H$28,Ergebnistabelle!D31*'Eingabe Immodaten'!$H$22,0)</f>
        <v>0</v>
      </c>
      <c r="AQ31" s="44">
        <f>IF(B31='Eingabe Immodaten'!$H$28,Ergebnistabelle!AM31,0)</f>
        <v>0</v>
      </c>
      <c r="AR31" s="44">
        <f>IF(B31='Eingabe Immodaten'!$H$28,Ergebnistabelle!AO31,0)</f>
        <v>0</v>
      </c>
      <c r="AS31" s="44">
        <f>IF(B31='Eingabe Immodaten'!$H$28,Ergebnistabelle!W31,0)</f>
        <v>0</v>
      </c>
      <c r="AT31" s="44">
        <f>IF(B31='Eingabe Immodaten'!$H$28,Ergebnistabelle!G31,0)</f>
        <v>0</v>
      </c>
      <c r="AU31" s="44">
        <f>IF(B31='Eingabe Immodaten'!$H$28,Ergebnistabelle!L31,0)</f>
        <v>0</v>
      </c>
      <c r="AV31" s="191"/>
      <c r="AW31" s="191"/>
      <c r="AX31" s="191"/>
      <c r="AY31" s="191"/>
      <c r="AZ31" s="191"/>
      <c r="BA31" s="191"/>
      <c r="BB31" s="191"/>
      <c r="BC31" s="191"/>
      <c r="BD31" s="191"/>
      <c r="BE31" s="191"/>
      <c r="BF31" s="191"/>
      <c r="BG31" s="191"/>
      <c r="BH31" s="191"/>
      <c r="BI31" s="191"/>
      <c r="BJ31" s="191"/>
      <c r="BK31" s="191"/>
      <c r="BL31" s="191"/>
      <c r="BM31" s="191"/>
    </row>
    <row r="32" spans="1:65">
      <c r="A32" s="191"/>
      <c r="B32" s="45">
        <f>IF(B31=0,0,IF(B31+1&gt;'Eingabe Immodaten'!$H$28,0,B31+1))</f>
        <v>26</v>
      </c>
      <c r="C32" s="49">
        <f t="shared" si="1"/>
        <v>1989.0890331715052</v>
      </c>
      <c r="D32" s="44">
        <f>IF(B32=0,0,D31*(1+'Eingabe Immodaten'!$C$15/100))</f>
        <v>23869.068398058062</v>
      </c>
      <c r="E32" s="44">
        <f t="shared" si="0"/>
        <v>439504.68166665977</v>
      </c>
      <c r="F32" s="44">
        <f>IF(B32=0,0,F31*(1+'Eingabe Immodaten'!$C$16/100))</f>
        <v>1708.3533092023579</v>
      </c>
      <c r="G32" s="44">
        <f t="shared" si="2"/>
        <v>22160.715088855704</v>
      </c>
      <c r="H32" s="44">
        <f>IF(B32=0,0,IF(B32&lt;='Eingabe Immodaten'!$C$28,'Eingabe Immodaten'!$C$32,'Eingabe Immodaten'!$C$34))</f>
        <v>15907.759200000002</v>
      </c>
      <c r="I32" s="44">
        <f>IF(B32=0,0,IF(B32&lt;='Eingabe Immodaten'!$H$6,'Eingabe Immodaten'!$H$9,'Eingabe Immodaten'!$H$11))</f>
        <v>0</v>
      </c>
      <c r="J32" s="44">
        <f t="shared" si="3"/>
        <v>15907.759200000002</v>
      </c>
      <c r="K32" s="44">
        <f t="shared" si="15"/>
        <v>0</v>
      </c>
      <c r="L32" s="44">
        <f t="shared" si="16"/>
        <v>15907.759200000002</v>
      </c>
      <c r="M32" s="46"/>
      <c r="N32" s="46"/>
      <c r="O32" s="47">
        <f>IF(B32=0,0,IF(B32&lt;='Eingabe Immodaten'!$C$28,'Eingabe Immodaten'!$C$30,'Eingabe Immodaten'!$C$33))</f>
        <v>4.3600000000000003</v>
      </c>
      <c r="P32" s="44">
        <f t="shared" si="4"/>
        <v>1382.8525709993237</v>
      </c>
      <c r="Q32" s="44">
        <f t="shared" si="5"/>
        <v>14524.906629000678</v>
      </c>
      <c r="R32" s="44">
        <f>IF(B32=0,0,IF(B32&lt;='Eingabe Immodaten'!$H$6,'Eingabe Immodaten'!$H$7,'Eingabe Immodaten'!$H$10))</f>
        <v>2.5299999999999998</v>
      </c>
      <c r="S32" s="44">
        <f t="shared" si="6"/>
        <v>8.6755729451434662E-8</v>
      </c>
      <c r="T32" s="44">
        <f t="shared" si="17"/>
        <v>-8.6755729451434662E-8</v>
      </c>
      <c r="U32" s="44">
        <f t="shared" si="7"/>
        <v>17191.895458239775</v>
      </c>
      <c r="V32" s="44">
        <f t="shared" si="8"/>
        <v>3.6158359449231606E-6</v>
      </c>
      <c r="W32" s="44">
        <f t="shared" si="9"/>
        <v>17191.895461855609</v>
      </c>
      <c r="X32" s="44">
        <f>IF(B32=0,0,'Eingabe Immodaten'!$H$14)</f>
        <v>215104.92000000004</v>
      </c>
      <c r="Y32" s="93">
        <f>IF(B32=0,0,IF(Z31=0,0,('Eingabe Immodaten'!$H$15)))</f>
        <v>3.5</v>
      </c>
      <c r="Z32" s="93">
        <f>IF(B32=0,0,IF(Z31+1&gt;99,0,Z31+Tabelle12[[#This Row],[Spalte23]]))</f>
        <v>91</v>
      </c>
      <c r="AA32" s="44">
        <f t="shared" si="10"/>
        <v>7528.6722000000018</v>
      </c>
      <c r="AB32" s="44"/>
      <c r="AC32" s="44"/>
      <c r="AD32" s="44"/>
      <c r="AE32" s="44">
        <f>IF(B32=0,0,IF(B32&lt;='Eingabe Immodaten'!$C$28,IF('Eingabe Immodaten'!$C$29&gt;5,'Eingabe Immodaten'!$C$29/100*'Eingabe Immodaten'!$C$23/'Eingabe Immodaten'!$C$28,0),0))</f>
        <v>0</v>
      </c>
      <c r="AF32" s="44">
        <f>(G32-P32-S32-AA32-AD32)*'Eingabe Immodaten'!$H$19</f>
        <v>5167.1842239301541</v>
      </c>
      <c r="AG32" s="44">
        <f t="shared" si="12"/>
        <v>1085.7716649255472</v>
      </c>
      <c r="AH32" s="44"/>
      <c r="AI32" s="44">
        <f>IF(B32='Eingabe Immodaten'!$H$28,U32,0)</f>
        <v>0</v>
      </c>
      <c r="AJ32" s="44">
        <f t="shared" si="13"/>
        <v>16993.530864925549</v>
      </c>
      <c r="AK32" s="44">
        <f t="shared" si="14"/>
        <v>1085.7716649255472</v>
      </c>
      <c r="AL32" s="48">
        <f t="shared" si="19"/>
        <v>90.480972077128925</v>
      </c>
      <c r="AM32" s="44">
        <f t="shared" si="20"/>
        <v>-40537.090619199087</v>
      </c>
      <c r="AN32" s="44">
        <f>IF(B32=0,0,D32*(1+'Eingabe Immodaten'!$C$15/100))*'Eingabe Immodaten'!H22</f>
        <v>546281.82079899556</v>
      </c>
      <c r="AO32" s="44">
        <f>IF(D32=0,0,AN32-W32+Tabelle12[[#This Row],[Spalte36]])</f>
        <v>488552.83471794089</v>
      </c>
      <c r="AP32" s="44">
        <f>IF(B32='Eingabe Immodaten'!$H$28,Ergebnistabelle!D32*'Eingabe Immodaten'!$H$22,0)</f>
        <v>0</v>
      </c>
      <c r="AQ32" s="44">
        <f>IF(B32='Eingabe Immodaten'!$H$28,Ergebnistabelle!AM32,0)</f>
        <v>0</v>
      </c>
      <c r="AR32" s="44">
        <f>IF(B32='Eingabe Immodaten'!$H$28,Ergebnistabelle!AO32,0)</f>
        <v>0</v>
      </c>
      <c r="AS32" s="44">
        <f>IF(B32='Eingabe Immodaten'!$H$28,Ergebnistabelle!W32,0)</f>
        <v>0</v>
      </c>
      <c r="AT32" s="44">
        <f>IF(B32='Eingabe Immodaten'!$H$28,Ergebnistabelle!G32,0)</f>
        <v>0</v>
      </c>
      <c r="AU32" s="44">
        <f>IF(B32='Eingabe Immodaten'!$H$28,Ergebnistabelle!L32,0)</f>
        <v>0</v>
      </c>
      <c r="AV32" s="191"/>
      <c r="AW32" s="191"/>
      <c r="AX32" s="191"/>
      <c r="AY32" s="191"/>
      <c r="AZ32" s="191"/>
      <c r="BA32" s="191"/>
      <c r="BB32" s="191"/>
      <c r="BC32" s="191"/>
      <c r="BD32" s="191"/>
      <c r="BE32" s="191"/>
      <c r="BF32" s="191"/>
      <c r="BG32" s="191"/>
      <c r="BH32" s="191"/>
      <c r="BI32" s="191"/>
      <c r="BJ32" s="191"/>
      <c r="BK32" s="191"/>
      <c r="BL32" s="191"/>
      <c r="BM32" s="191"/>
    </row>
    <row r="33" spans="1:65">
      <c r="A33" s="191"/>
      <c r="B33" s="45">
        <f>IF(B32=0,0,IF(B32+1&gt;'Eingabe Immodaten'!$H$28,0,B32+1))</f>
        <v>27</v>
      </c>
      <c r="C33" s="49">
        <f t="shared" si="1"/>
        <v>2048.7617041666504</v>
      </c>
      <c r="D33" s="44">
        <f>IF(B33=0,0,D32*(1+'Eingabe Immodaten'!$C$15/100))</f>
        <v>24585.140449999803</v>
      </c>
      <c r="E33" s="44">
        <f t="shared" si="0"/>
        <v>464089.8221166596</v>
      </c>
      <c r="F33" s="44">
        <f>IF(B33=0,0,F32*(1+'Eingabe Immodaten'!$C$16/100))</f>
        <v>1725.4368422943814</v>
      </c>
      <c r="G33" s="44">
        <f t="shared" si="2"/>
        <v>22859.703607705422</v>
      </c>
      <c r="H33" s="44">
        <f>IF(B33=0,0,IF(B33&lt;='Eingabe Immodaten'!$C$28,'Eingabe Immodaten'!$C$32,'Eingabe Immodaten'!$C$34))</f>
        <v>15907.759200000002</v>
      </c>
      <c r="I33" s="44">
        <f>IF(B33=0,0,IF(B33&lt;='Eingabe Immodaten'!$H$6,'Eingabe Immodaten'!$H$9,'Eingabe Immodaten'!$H$11))</f>
        <v>0</v>
      </c>
      <c r="J33" s="44">
        <f t="shared" si="3"/>
        <v>15907.759200000002</v>
      </c>
      <c r="K33" s="44">
        <f t="shared" si="15"/>
        <v>0</v>
      </c>
      <c r="L33" s="44">
        <f t="shared" si="16"/>
        <v>15907.759200000002</v>
      </c>
      <c r="M33" s="46"/>
      <c r="N33" s="46"/>
      <c r="O33" s="47">
        <f>IF(B33=0,0,IF(B33&lt;='Eingabe Immodaten'!$C$28,'Eingabe Immodaten'!$C$30,'Eingabe Immodaten'!$C$33))</f>
        <v>4.3600000000000003</v>
      </c>
      <c r="P33" s="44">
        <f t="shared" si="4"/>
        <v>749.5666419792542</v>
      </c>
      <c r="Q33" s="44">
        <f t="shared" si="5"/>
        <v>15158.192558020748</v>
      </c>
      <c r="R33" s="44">
        <f>IF(B33=0,0,IF(B33&lt;='Eingabe Immodaten'!$H$6,'Eingabe Immodaten'!$H$7,'Eingabe Immodaten'!$H$10))</f>
        <v>2.5299999999999998</v>
      </c>
      <c r="S33" s="44">
        <f t="shared" si="6"/>
        <v>9.1480649406555957E-8</v>
      </c>
      <c r="T33" s="44">
        <f t="shared" si="17"/>
        <v>-9.1480649406555957E-8</v>
      </c>
      <c r="U33" s="44">
        <f t="shared" si="7"/>
        <v>2033.7029003190266</v>
      </c>
      <c r="V33" s="44">
        <f t="shared" si="8"/>
        <v>3.8073165943297163E-6</v>
      </c>
      <c r="W33" s="44">
        <f t="shared" si="9"/>
        <v>2033.7029041263431</v>
      </c>
      <c r="X33" s="44">
        <f>IF(B33=0,0,'Eingabe Immodaten'!$H$14)</f>
        <v>215104.92000000004</v>
      </c>
      <c r="Y33" s="93">
        <f>IF(B33=0,0,IF(Z32=0,0,('Eingabe Immodaten'!$H$15)))</f>
        <v>3.5</v>
      </c>
      <c r="Z33" s="93">
        <f>IF(B33=0,0,IF(Z32+1&gt;99,0,Z32+Tabelle12[[#This Row],[Spalte23]]))</f>
        <v>94.5</v>
      </c>
      <c r="AA33" s="44">
        <f t="shared" si="10"/>
        <v>7528.6722000000018</v>
      </c>
      <c r="AB33" s="44"/>
      <c r="AC33" s="44"/>
      <c r="AD33" s="44"/>
      <c r="AE33" s="44">
        <f>IF(B33=0,0,IF(B33&lt;='Eingabe Immodaten'!$C$28,IF('Eingabe Immodaten'!$C$29&gt;5,'Eingabe Immodaten'!$C$29/100*'Eingabe Immodaten'!$C$23/'Eingabe Immodaten'!$C$28,0),0))</f>
        <v>0</v>
      </c>
      <c r="AF33" s="44">
        <f>(G33-P33-S33-AA33-AD33)*'Eingabe Immodaten'!$H$19</f>
        <v>5686.7712585975278</v>
      </c>
      <c r="AG33" s="44">
        <f t="shared" si="12"/>
        <v>1265.1731491078917</v>
      </c>
      <c r="AH33" s="44"/>
      <c r="AI33" s="44">
        <f>IF(B33='Eingabe Immodaten'!$H$28,U33,0)</f>
        <v>0</v>
      </c>
      <c r="AJ33" s="44">
        <f t="shared" si="13"/>
        <v>17172.932349107894</v>
      </c>
      <c r="AK33" s="44">
        <f t="shared" si="14"/>
        <v>1265.1731491078917</v>
      </c>
      <c r="AL33" s="48">
        <f t="shared" si="19"/>
        <v>105.43109575899098</v>
      </c>
      <c r="AM33" s="44">
        <f t="shared" si="20"/>
        <v>-39271.917470091197</v>
      </c>
      <c r="AN33" s="44">
        <f>IF(B33=0,0,D33*(1+'Eingabe Immodaten'!$C$15/100))*'Eingabe Immodaten'!H22</f>
        <v>562670.27542296553</v>
      </c>
      <c r="AO33" s="44">
        <f>IF(D33=0,0,AN33-W33+Tabelle12[[#This Row],[Spalte36]])</f>
        <v>521364.65504874795</v>
      </c>
      <c r="AP33" s="44">
        <f>IF(B33='Eingabe Immodaten'!$H$28,Ergebnistabelle!D33*'Eingabe Immodaten'!$H$22,0)</f>
        <v>0</v>
      </c>
      <c r="AQ33" s="44">
        <f>IF(B33='Eingabe Immodaten'!$H$28,Ergebnistabelle!AM33,0)</f>
        <v>0</v>
      </c>
      <c r="AR33" s="44">
        <f>IF(B33='Eingabe Immodaten'!$H$28,Ergebnistabelle!AO33,0)</f>
        <v>0</v>
      </c>
      <c r="AS33" s="44">
        <f>IF(B33='Eingabe Immodaten'!$H$28,Ergebnistabelle!W33,0)</f>
        <v>0</v>
      </c>
      <c r="AT33" s="44">
        <f>IF(B33='Eingabe Immodaten'!$H$28,Ergebnistabelle!G33,0)</f>
        <v>0</v>
      </c>
      <c r="AU33" s="44">
        <f>IF(B33='Eingabe Immodaten'!$H$28,Ergebnistabelle!L33,0)</f>
        <v>0</v>
      </c>
      <c r="AV33" s="191"/>
      <c r="AW33" s="191"/>
      <c r="AX33" s="191"/>
      <c r="AY33" s="191"/>
      <c r="AZ33" s="191"/>
      <c r="BA33" s="191"/>
      <c r="BB33" s="191"/>
      <c r="BC33" s="191"/>
      <c r="BD33" s="191"/>
      <c r="BE33" s="191"/>
      <c r="BF33" s="191"/>
      <c r="BG33" s="191"/>
      <c r="BH33" s="191"/>
      <c r="BI33" s="191"/>
      <c r="BJ33" s="191"/>
      <c r="BK33" s="191"/>
      <c r="BL33" s="191"/>
      <c r="BM33" s="191"/>
    </row>
    <row r="34" spans="1:65">
      <c r="A34" s="191"/>
      <c r="B34" s="45">
        <f>IF(B33=0,0,IF(B33+1&gt;'Eingabe Immodaten'!$H$28,0,B33+1))</f>
        <v>28</v>
      </c>
      <c r="C34" s="49">
        <f t="shared" si="1"/>
        <v>2110.2245552916497</v>
      </c>
      <c r="D34" s="44">
        <f>IF(B34=0,0,D33*(1+'Eingabe Immodaten'!$C$15/100))</f>
        <v>25322.694663499798</v>
      </c>
      <c r="E34" s="44">
        <f t="shared" si="0"/>
        <v>489412.51678015938</v>
      </c>
      <c r="F34" s="44">
        <f>IF(B34=0,0,F33*(1+'Eingabe Immodaten'!$C$16/100))</f>
        <v>1742.6912107173252</v>
      </c>
      <c r="G34" s="44">
        <f t="shared" si="2"/>
        <v>23580.003452782472</v>
      </c>
      <c r="H34" s="44">
        <f>IF(B34=0,0,IF(B34&lt;='Eingabe Immodaten'!$C$28,'Eingabe Immodaten'!$C$32,'Eingabe Immodaten'!$C$34))</f>
        <v>15907.759200000002</v>
      </c>
      <c r="I34" s="44">
        <f>IF(B34=0,0,IF(B34&lt;='Eingabe Immodaten'!$H$6,'Eingabe Immodaten'!$H$9,'Eingabe Immodaten'!$H$11))</f>
        <v>0</v>
      </c>
      <c r="J34" s="44">
        <f t="shared" si="3"/>
        <v>2122.3723467729365</v>
      </c>
      <c r="K34" s="44">
        <f t="shared" si="15"/>
        <v>0</v>
      </c>
      <c r="L34" s="44">
        <f t="shared" si="16"/>
        <v>2122.3723467729365</v>
      </c>
      <c r="M34" s="46"/>
      <c r="N34" s="46"/>
      <c r="O34" s="47">
        <f>IF(B34=0,0,IF(B34&lt;='Eingabe Immodaten'!$C$28,'Eingabe Immodaten'!$C$30,'Eingabe Immodaten'!$C$33))</f>
        <v>4.3600000000000003</v>
      </c>
      <c r="P34" s="44">
        <f t="shared" si="4"/>
        <v>88.669446453909572</v>
      </c>
      <c r="Q34" s="44">
        <f t="shared" si="5"/>
        <v>2033.7029003190269</v>
      </c>
      <c r="R34" s="44">
        <f>IF(B34=0,0,IF(B34&lt;='Eingabe Immodaten'!$H$6,'Eingabe Immodaten'!$H$7,'Eingabe Immodaten'!$H$10))</f>
        <v>2.5299999999999998</v>
      </c>
      <c r="S34" s="44">
        <f t="shared" si="6"/>
        <v>9.6325109836541818E-8</v>
      </c>
      <c r="T34" s="44">
        <f t="shared" si="17"/>
        <v>-9.6325109836541818E-8</v>
      </c>
      <c r="U34" s="44">
        <f t="shared" si="7"/>
        <v>9.9999772626324552E-8</v>
      </c>
      <c r="V34" s="44">
        <f t="shared" si="8"/>
        <v>4.0036417041662579E-6</v>
      </c>
      <c r="W34" s="44">
        <f t="shared" si="9"/>
        <v>4.1036414767925824E-6</v>
      </c>
      <c r="X34" s="44">
        <f>IF(B34=0,0,'Eingabe Immodaten'!$H$14)</f>
        <v>215104.92000000004</v>
      </c>
      <c r="Y34" s="93">
        <f>IF(B34=0,0,IF(Z33=0,0,('Eingabe Immodaten'!$H$15)))</f>
        <v>3.5</v>
      </c>
      <c r="Z34" s="93">
        <f>IF(B34=0,0,IF(Z33+1&gt;99,0,Z33+Tabelle12[[#This Row],[Spalte23]]))</f>
        <v>98</v>
      </c>
      <c r="AA34" s="44">
        <f t="shared" si="10"/>
        <v>7528.6722000000018</v>
      </c>
      <c r="AB34" s="44"/>
      <c r="AC34" s="44"/>
      <c r="AD34" s="44"/>
      <c r="AE34" s="44">
        <f>IF(B34=0,0,IF(B34&lt;='Eingabe Immodaten'!$C$28,IF('Eingabe Immodaten'!$C$29&gt;5,'Eingabe Immodaten'!$C$29/100*'Eingabe Immodaten'!$C$23/'Eingabe Immodaten'!$C$28,0),0))</f>
        <v>0</v>
      </c>
      <c r="AF34" s="44">
        <f>(G34-P34-S34-AA34-AD34)*'Eingabe Immodaten'!$H$19</f>
        <v>6225.4381044305719</v>
      </c>
      <c r="AG34" s="44">
        <f t="shared" si="12"/>
        <v>15232.193001578962</v>
      </c>
      <c r="AH34" s="44"/>
      <c r="AI34" s="44">
        <f>IF(B34='Eingabe Immodaten'!$H$28,U34,0)</f>
        <v>0</v>
      </c>
      <c r="AJ34" s="44">
        <f t="shared" si="13"/>
        <v>17354.565348351898</v>
      </c>
      <c r="AK34" s="44">
        <f t="shared" si="14"/>
        <v>15232.193001578962</v>
      </c>
      <c r="AL34" s="48">
        <f t="shared" si="19"/>
        <v>1269.3494167982469</v>
      </c>
      <c r="AM34" s="44">
        <f t="shared" si="20"/>
        <v>-24039.724468512235</v>
      </c>
      <c r="AN34" s="44">
        <f>IF(B34=0,0,D34*(1+'Eingabe Immodaten'!$C$15/100))*'Eingabe Immodaten'!H22</f>
        <v>579550.38368565449</v>
      </c>
      <c r="AO34" s="44">
        <f>IF(D34=0,0,AN34-W34+Tabelle12[[#This Row],[Spalte36]])</f>
        <v>555510.65921303863</v>
      </c>
      <c r="AP34" s="44">
        <f>IF(B34='Eingabe Immodaten'!$H$28,Ergebnistabelle!D34*'Eingabe Immodaten'!$H$22,0)</f>
        <v>0</v>
      </c>
      <c r="AQ34" s="44">
        <f>IF(B34='Eingabe Immodaten'!$H$28,Ergebnistabelle!AM34,0)</f>
        <v>0</v>
      </c>
      <c r="AR34" s="44">
        <f>IF(B34='Eingabe Immodaten'!$H$28,Ergebnistabelle!AO34,0)</f>
        <v>0</v>
      </c>
      <c r="AS34" s="44">
        <f>IF(B34='Eingabe Immodaten'!$H$28,Ergebnistabelle!W34,0)</f>
        <v>0</v>
      </c>
      <c r="AT34" s="44">
        <f>IF(B34='Eingabe Immodaten'!$H$28,Ergebnistabelle!G34,0)</f>
        <v>0</v>
      </c>
      <c r="AU34" s="44">
        <f>IF(B34='Eingabe Immodaten'!$H$28,Ergebnistabelle!L34,0)</f>
        <v>0</v>
      </c>
      <c r="AV34" s="191"/>
      <c r="AW34" s="191"/>
      <c r="AX34" s="191"/>
      <c r="AY34" s="191"/>
      <c r="AZ34" s="191"/>
      <c r="BA34" s="191"/>
      <c r="BB34" s="191"/>
      <c r="BC34" s="191"/>
      <c r="BD34" s="191"/>
      <c r="BE34" s="191"/>
      <c r="BF34" s="191"/>
      <c r="BG34" s="191"/>
      <c r="BH34" s="191"/>
      <c r="BI34" s="191"/>
      <c r="BJ34" s="191"/>
      <c r="BK34" s="191"/>
      <c r="BL34" s="191"/>
      <c r="BM34" s="191"/>
    </row>
    <row r="35" spans="1:65">
      <c r="A35" s="191"/>
      <c r="B35" s="45">
        <f>IF(B34=0,0,IF(B34+1&gt;'Eingabe Immodaten'!$H$28,0,B34+1))</f>
        <v>29</v>
      </c>
      <c r="C35" s="49">
        <f t="shared" si="1"/>
        <v>2173.5312919503995</v>
      </c>
      <c r="D35" s="44">
        <f>IF(B35=0,0,D34*(1+'Eingabe Immodaten'!$C$15/100))</f>
        <v>26082.375503404794</v>
      </c>
      <c r="E35" s="44">
        <f t="shared" si="0"/>
        <v>515494.8922835642</v>
      </c>
      <c r="F35" s="44">
        <f>IF(B35=0,0,F34*(1+'Eingabe Immodaten'!$C$16/100))</f>
        <v>1760.1181228244984</v>
      </c>
      <c r="G35" s="44">
        <f t="shared" si="2"/>
        <v>24322.257380580297</v>
      </c>
      <c r="H35" s="44">
        <f>IF(B35=0,0,IF(B35&lt;='Eingabe Immodaten'!$C$28,'Eingabe Immodaten'!$C$32,'Eingabe Immodaten'!$C$34))</f>
        <v>15907.759200000002</v>
      </c>
      <c r="I35" s="44">
        <f>IF(B35=0,0,IF(B35&lt;='Eingabe Immodaten'!$H$6,'Eingabe Immodaten'!$H$9,'Eingabe Immodaten'!$H$11))</f>
        <v>0</v>
      </c>
      <c r="J35" s="44">
        <f t="shared" si="3"/>
        <v>1.0435976271283232E-7</v>
      </c>
      <c r="K35" s="44">
        <f t="shared" si="15"/>
        <v>0</v>
      </c>
      <c r="L35" s="44">
        <f t="shared" si="16"/>
        <v>1.0435976271283232E-7</v>
      </c>
      <c r="M35" s="46"/>
      <c r="N35" s="46"/>
      <c r="O35" s="47">
        <f>IF(B35=0,0,IF(B35&lt;='Eingabe Immodaten'!$C$28,'Eingabe Immodaten'!$C$30,'Eingabe Immodaten'!$C$33))</f>
        <v>4.3600000000000003</v>
      </c>
      <c r="P35" s="44">
        <f t="shared" si="4"/>
        <v>4.3599900865077511E-9</v>
      </c>
      <c r="Q35" s="44">
        <f t="shared" si="5"/>
        <v>9.9999772626324565E-8</v>
      </c>
      <c r="R35" s="44">
        <f>IF(B35=0,0,IF(B35&lt;='Eingabe Immodaten'!$H$6,'Eingabe Immodaten'!$H$7,'Eingabe Immodaten'!$H$10))</f>
        <v>2.5299999999999998</v>
      </c>
      <c r="S35" s="44">
        <f t="shared" si="6"/>
        <v>1.0129213511540632E-7</v>
      </c>
      <c r="T35" s="44">
        <f t="shared" si="17"/>
        <v>-1.0129213511540632E-7</v>
      </c>
      <c r="U35" s="44">
        <f t="shared" si="7"/>
        <v>9.9999999999999982E-8</v>
      </c>
      <c r="V35" s="44">
        <f t="shared" si="8"/>
        <v>4.2049338392816645E-6</v>
      </c>
      <c r="W35" s="44">
        <f t="shared" si="9"/>
        <v>4.3049338392816644E-6</v>
      </c>
      <c r="X35" s="44">
        <f>IF(B35=0,0,'Eingabe Immodaten'!$H$14)</f>
        <v>215104.92000000004</v>
      </c>
      <c r="Y35" s="93">
        <f>IF(B35=0,0,IF(Z34=0,0,('Eingabe Immodaten'!$H$15)))</f>
        <v>3.5</v>
      </c>
      <c r="Z35" s="93">
        <f>IF(B35=0,0,IF(Z34+1&gt;99,0,Z34+Tabelle12[[#This Row],[Spalte23]]))</f>
        <v>101.5</v>
      </c>
      <c r="AA35" s="44">
        <f t="shared" si="10"/>
        <v>7528.6722000000018</v>
      </c>
      <c r="AB35" s="44"/>
      <c r="AC35" s="44"/>
      <c r="AD35" s="44"/>
      <c r="AE35" s="44">
        <f>IF(B35=0,0,IF(B35&lt;='Eingabe Immodaten'!$C$28,IF('Eingabe Immodaten'!$C$29&gt;5,'Eingabe Immodaten'!$C$29/100*'Eingabe Immodaten'!$C$23/'Eingabe Immodaten'!$C$28,0),0))</f>
        <v>0</v>
      </c>
      <c r="AF35" s="44">
        <f>(G35-P35-S35-AA35-AD35)*'Eingabe Immodaten'!$H$19</f>
        <v>6549.4982203851123</v>
      </c>
      <c r="AG35" s="44">
        <f t="shared" si="12"/>
        <v>17772.759160090827</v>
      </c>
      <c r="AH35" s="44"/>
      <c r="AI35" s="44">
        <f>IF(B35='Eingabe Immodaten'!$H$28,U35,0)</f>
        <v>0</v>
      </c>
      <c r="AJ35" s="44">
        <f t="shared" si="13"/>
        <v>17772.759160195186</v>
      </c>
      <c r="AK35" s="44">
        <f t="shared" si="14"/>
        <v>17772.759160090827</v>
      </c>
      <c r="AL35" s="48">
        <f t="shared" si="19"/>
        <v>1481.0632633409023</v>
      </c>
      <c r="AM35" s="44">
        <f t="shared" si="20"/>
        <v>-6266.9653084214078</v>
      </c>
      <c r="AN35" s="44">
        <f>IF(B35=0,0,D35*(1+'Eingabe Immodaten'!$C$15/100))*'Eingabe Immodaten'!H22</f>
        <v>596936.8951962241</v>
      </c>
      <c r="AO35" s="44">
        <f>IF(D35=0,0,AN35-W35+Tabelle12[[#This Row],[Spalte36]])</f>
        <v>590669.92988349777</v>
      </c>
      <c r="AP35" s="44">
        <f>IF(B35='Eingabe Immodaten'!$H$28,Ergebnistabelle!D35*'Eingabe Immodaten'!$H$22,0)</f>
        <v>0</v>
      </c>
      <c r="AQ35" s="44">
        <f>IF(B35='Eingabe Immodaten'!$H$28,Ergebnistabelle!AM35,0)</f>
        <v>0</v>
      </c>
      <c r="AR35" s="44">
        <f>IF(B35='Eingabe Immodaten'!$H$28,Ergebnistabelle!AO35,0)</f>
        <v>0</v>
      </c>
      <c r="AS35" s="44">
        <f>IF(B35='Eingabe Immodaten'!$H$28,Ergebnistabelle!W35,0)</f>
        <v>0</v>
      </c>
      <c r="AT35" s="44">
        <f>IF(B35='Eingabe Immodaten'!$H$28,Ergebnistabelle!G35,0)</f>
        <v>0</v>
      </c>
      <c r="AU35" s="44">
        <f>IF(B35='Eingabe Immodaten'!$H$28,Ergebnistabelle!L35,0)</f>
        <v>0</v>
      </c>
      <c r="AV35" s="191"/>
      <c r="AW35" s="191"/>
      <c r="AX35" s="191"/>
      <c r="AY35" s="191"/>
      <c r="AZ35" s="191"/>
      <c r="BA35" s="191"/>
      <c r="BB35" s="191"/>
      <c r="BC35" s="191"/>
      <c r="BD35" s="191"/>
      <c r="BE35" s="191"/>
      <c r="BF35" s="191"/>
      <c r="BG35" s="191"/>
      <c r="BH35" s="191"/>
      <c r="BI35" s="191"/>
      <c r="BJ35" s="191"/>
      <c r="BK35" s="191"/>
      <c r="BL35" s="191"/>
      <c r="BM35" s="191"/>
    </row>
    <row r="36" spans="1:65">
      <c r="A36" s="191"/>
      <c r="B36" s="45">
        <f>IF(B35=0,0,IF(B35+1&gt;'Eingabe Immodaten'!$H$28,0,B35+1))</f>
        <v>30</v>
      </c>
      <c r="C36" s="49">
        <f t="shared" si="1"/>
        <v>2238.7372307089113</v>
      </c>
      <c r="D36" s="44">
        <f>IF(B36=0,0,D35*(1+'Eingabe Immodaten'!$C$15/100))</f>
        <v>26864.846768506937</v>
      </c>
      <c r="E36" s="44">
        <f t="shared" si="0"/>
        <v>542359.73905207112</v>
      </c>
      <c r="F36" s="44">
        <f>IF(B36=0,0,F35*(1+'Eingabe Immodaten'!$C$16/100))</f>
        <v>1777.7193040527434</v>
      </c>
      <c r="G36" s="44">
        <f t="shared" si="2"/>
        <v>25087.127464454195</v>
      </c>
      <c r="H36" s="44">
        <f>IF(B36=0,0,IF(B36&lt;='Eingabe Immodaten'!$C$28,'Eingabe Immodaten'!$C$32,'Eingabe Immodaten'!$C$34))</f>
        <v>15907.759200000002</v>
      </c>
      <c r="I36" s="44">
        <f>IF(B36=0,0,IF(B36&lt;='Eingabe Immodaten'!$H$6,'Eingabe Immodaten'!$H$9,'Eingabe Immodaten'!$H$11))</f>
        <v>0</v>
      </c>
      <c r="J36" s="44">
        <f t="shared" si="3"/>
        <v>1.0435999999999999E-7</v>
      </c>
      <c r="K36" s="44">
        <f t="shared" si="15"/>
        <v>0</v>
      </c>
      <c r="L36" s="44">
        <f t="shared" si="16"/>
        <v>1.0435999999999999E-7</v>
      </c>
      <c r="M36" s="46"/>
      <c r="N36" s="46"/>
      <c r="O36" s="47">
        <f>IF(B36=0,0,IF(B36&lt;='Eingabe Immodaten'!$C$28,'Eingabe Immodaten'!$C$30,'Eingabe Immodaten'!$C$33))</f>
        <v>4.3600000000000003</v>
      </c>
      <c r="P36" s="44">
        <f t="shared" si="4"/>
        <v>4.359999999999999E-9</v>
      </c>
      <c r="Q36" s="44">
        <f t="shared" si="5"/>
        <v>9.9999999999999995E-8</v>
      </c>
      <c r="R36" s="44">
        <f>IF(B36=0,0,IF(B36&lt;='Eingabe Immodaten'!$H$6,'Eingabe Immodaten'!$H$7,'Eingabe Immodaten'!$H$10))</f>
        <v>2.5299999999999998</v>
      </c>
      <c r="S36" s="44">
        <f t="shared" si="6"/>
        <v>1.0638482613382611E-7</v>
      </c>
      <c r="T36" s="44">
        <f t="shared" si="17"/>
        <v>-1.0638482613382611E-7</v>
      </c>
      <c r="U36" s="44">
        <f t="shared" si="7"/>
        <v>9.9999999999999982E-8</v>
      </c>
      <c r="V36" s="44">
        <f t="shared" si="8"/>
        <v>4.4113186654154907E-6</v>
      </c>
      <c r="W36" s="44">
        <f t="shared" si="9"/>
        <v>4.5113186654154906E-6</v>
      </c>
      <c r="X36" s="44">
        <f>IF(B36=0,0,'Eingabe Immodaten'!$H$14)</f>
        <v>215104.92000000004</v>
      </c>
      <c r="Y36" s="93">
        <f>IF(B36=0,0,IF(Z35=0,0,('Eingabe Immodaten'!$H$15)))</f>
        <v>3.5</v>
      </c>
      <c r="Z36" s="93">
        <f>IF(B36=0,0,IF(Z35+1&gt;99,0,Z35+Tabelle12[[#This Row],[Spalte23]]))</f>
        <v>0</v>
      </c>
      <c r="AA36" s="44">
        <f t="shared" si="10"/>
        <v>7528.6722000000018</v>
      </c>
      <c r="AB36" s="44"/>
      <c r="AC36" s="44"/>
      <c r="AD36" s="44"/>
      <c r="AE36" s="44">
        <f>IF(B36=0,0,IF(B36&lt;='Eingabe Immodaten'!$C$28,IF('Eingabe Immodaten'!$C$29&gt;5,'Eingabe Immodaten'!$C$29/100*'Eingabe Immodaten'!$C$23/'Eingabe Immodaten'!$C$28,0),0))</f>
        <v>0</v>
      </c>
      <c r="AF36" s="44">
        <f>(G36-P36-S36-AA36-AD36)*'Eingabe Immodaten'!$H$19</f>
        <v>6847.7975530939457</v>
      </c>
      <c r="AG36" s="44">
        <f t="shared" si="12"/>
        <v>18239.329911255889</v>
      </c>
      <c r="AH36" s="44"/>
      <c r="AI36" s="44">
        <f>IF(B36='Eingabe Immodaten'!$H$28,U36,0)</f>
        <v>0</v>
      </c>
      <c r="AJ36" s="44">
        <f t="shared" si="13"/>
        <v>18239.329911360248</v>
      </c>
      <c r="AK36" s="44">
        <f t="shared" si="14"/>
        <v>18239.329911255889</v>
      </c>
      <c r="AL36" s="48">
        <f t="shared" si="19"/>
        <v>1519.944159271324</v>
      </c>
      <c r="AM36" s="44">
        <f t="shared" si="20"/>
        <v>11972.364602834481</v>
      </c>
      <c r="AN36" s="44">
        <f>IF(B36=0,0,D36*(1+'Eingabe Immodaten'!$C$15/100))*'Eingabe Immodaten'!H22</f>
        <v>614845.00205211085</v>
      </c>
      <c r="AO36" s="44">
        <f>IF(D36=0,0,AN36-W36+Tabelle12[[#This Row],[Spalte36]])</f>
        <v>626817.36665043398</v>
      </c>
      <c r="AP36" s="44">
        <f>IF(B36='Eingabe Immodaten'!$H$28,Ergebnistabelle!D36*'Eingabe Immodaten'!$H$22,0)</f>
        <v>0</v>
      </c>
      <c r="AQ36" s="44">
        <f>IF(B36='Eingabe Immodaten'!$H$28,Ergebnistabelle!AM36,0)</f>
        <v>0</v>
      </c>
      <c r="AR36" s="44">
        <f>IF(B36='Eingabe Immodaten'!$H$28,Ergebnistabelle!AO36,0)</f>
        <v>0</v>
      </c>
      <c r="AS36" s="44">
        <f>IF(B36='Eingabe Immodaten'!$H$28,Ergebnistabelle!W36,0)</f>
        <v>0</v>
      </c>
      <c r="AT36" s="44">
        <f>IF(B36='Eingabe Immodaten'!$H$28,Ergebnistabelle!G36,0)</f>
        <v>0</v>
      </c>
      <c r="AU36" s="44">
        <f>IF(B36='Eingabe Immodaten'!$H$28,Ergebnistabelle!L36,0)</f>
        <v>0</v>
      </c>
      <c r="AV36" s="191"/>
      <c r="AW36" s="191"/>
      <c r="AX36" s="191"/>
      <c r="AY36" s="191"/>
      <c r="AZ36" s="191"/>
      <c r="BA36" s="191"/>
      <c r="BB36" s="191"/>
      <c r="BC36" s="191"/>
      <c r="BD36" s="191"/>
      <c r="BE36" s="191"/>
      <c r="BF36" s="191"/>
      <c r="BG36" s="191"/>
      <c r="BH36" s="191"/>
      <c r="BI36" s="191"/>
      <c r="BJ36" s="191"/>
      <c r="BK36" s="191"/>
      <c r="BL36" s="191"/>
      <c r="BM36" s="191"/>
    </row>
    <row r="37" spans="1:65">
      <c r="A37" s="191"/>
      <c r="B37" s="45">
        <f>IF(B36=0,0,IF(B36+1&gt;'Eingabe Immodaten'!$H$28,0,B36+1))</f>
        <v>31</v>
      </c>
      <c r="C37" s="49">
        <f t="shared" si="1"/>
        <v>2305.8993476301789</v>
      </c>
      <c r="D37" s="44">
        <f>IF(B37=0,0,D36*(1+'Eingabe Immodaten'!$C$15/100))</f>
        <v>27670.792171562145</v>
      </c>
      <c r="E37" s="44">
        <f t="shared" si="0"/>
        <v>570030.53122363321</v>
      </c>
      <c r="F37" s="44">
        <f>IF(B37=0,0,F36*(1+'Eingabe Immodaten'!$C$16/100))</f>
        <v>1795.4964970932708</v>
      </c>
      <c r="G37" s="44">
        <f t="shared" si="2"/>
        <v>25875.295674468874</v>
      </c>
      <c r="H37" s="44">
        <f>IF(B37=0,0,IF(B37&lt;='Eingabe Immodaten'!$C$28,'Eingabe Immodaten'!$C$32,'Eingabe Immodaten'!$C$34))</f>
        <v>15907.759200000002</v>
      </c>
      <c r="I37" s="44">
        <f>IF(B37=0,0,IF(B37&lt;='Eingabe Immodaten'!$H$6,'Eingabe Immodaten'!$H$9,'Eingabe Immodaten'!$H$11))</f>
        <v>0</v>
      </c>
      <c r="J37" s="44">
        <f t="shared" si="3"/>
        <v>1.0435999999999999E-7</v>
      </c>
      <c r="K37" s="44">
        <f t="shared" si="15"/>
        <v>0</v>
      </c>
      <c r="L37" s="44">
        <f t="shared" si="16"/>
        <v>1.0435999999999999E-7</v>
      </c>
      <c r="M37" s="46"/>
      <c r="N37" s="46"/>
      <c r="O37" s="47">
        <f>IF(B37=0,0,IF(B37&lt;='Eingabe Immodaten'!$C$28,'Eingabe Immodaten'!$C$30,'Eingabe Immodaten'!$C$33))</f>
        <v>4.3600000000000003</v>
      </c>
      <c r="P37" s="44">
        <f t="shared" si="4"/>
        <v>4.359999999999999E-9</v>
      </c>
      <c r="Q37" s="44">
        <f t="shared" si="5"/>
        <v>9.9999999999999995E-8</v>
      </c>
      <c r="R37" s="44">
        <f>IF(B37=0,0,IF(B37&lt;='Eingabe Immodaten'!$H$6,'Eingabe Immodaten'!$H$7,'Eingabe Immodaten'!$H$10))</f>
        <v>2.5299999999999998</v>
      </c>
      <c r="S37" s="44">
        <f t="shared" si="6"/>
        <v>1.1160636223501191E-7</v>
      </c>
      <c r="T37" s="44">
        <f t="shared" si="17"/>
        <v>-1.1160636223501191E-7</v>
      </c>
      <c r="U37" s="44">
        <f t="shared" si="7"/>
        <v>9.9999999999999982E-8</v>
      </c>
      <c r="V37" s="44">
        <f t="shared" si="8"/>
        <v>4.6229250276505023E-6</v>
      </c>
      <c r="W37" s="44">
        <f t="shared" si="9"/>
        <v>4.7229250276505022E-6</v>
      </c>
      <c r="X37" s="44">
        <f>IF(B37=0,0,'Eingabe Immodaten'!$H$14)</f>
        <v>215104.92000000004</v>
      </c>
      <c r="Y37" s="93">
        <f>IF(B37=0,0,IF(Z36=0,0,('Eingabe Immodaten'!$H$15)))</f>
        <v>0</v>
      </c>
      <c r="Z37" s="93">
        <f>IF(B37=0,0,IF(Z36+1&gt;99,0,Z36+Tabelle12[[#This Row],[Spalte23]]))</f>
        <v>0</v>
      </c>
      <c r="AA37" s="44">
        <f t="shared" si="10"/>
        <v>0</v>
      </c>
      <c r="AB37" s="44"/>
      <c r="AC37" s="44"/>
      <c r="AD37" s="44"/>
      <c r="AE37" s="44">
        <f>IF(B37=0,0,IF(B37&lt;='Eingabe Immodaten'!$C$28,IF('Eingabe Immodaten'!$C$29&gt;5,'Eingabe Immodaten'!$C$29/100*'Eingabe Immodaten'!$C$23/'Eingabe Immodaten'!$C$28,0),0))</f>
        <v>0</v>
      </c>
      <c r="AF37" s="44">
        <f>(G37-P37-S37-AA37-AD37)*'Eingabe Immodaten'!$H$19</f>
        <v>10091.365312997636</v>
      </c>
      <c r="AG37" s="44">
        <f t="shared" si="12"/>
        <v>15783.930361366878</v>
      </c>
      <c r="AH37" s="44"/>
      <c r="AI37" s="44">
        <f>IF(B37='Eingabe Immodaten'!$H$28,U37,0)</f>
        <v>0</v>
      </c>
      <c r="AJ37" s="44">
        <f t="shared" si="13"/>
        <v>15783.930361471239</v>
      </c>
      <c r="AK37" s="44">
        <f t="shared" si="14"/>
        <v>15783.930361366878</v>
      </c>
      <c r="AL37" s="48">
        <f t="shared" si="19"/>
        <v>1315.3275301139065</v>
      </c>
      <c r="AM37" s="44">
        <f t="shared" si="20"/>
        <v>27756.294964201359</v>
      </c>
      <c r="AN37" s="44">
        <f>IF(B37=0,0,D37*(1+'Eingabe Immodaten'!$C$15/100))*'Eingabe Immodaten'!H22</f>
        <v>633290.35211367416</v>
      </c>
      <c r="AO37" s="44">
        <f>IF(D37=0,0,AN37-W37+Tabelle12[[#This Row],[Spalte36]])</f>
        <v>661046.64707315259</v>
      </c>
      <c r="AP37" s="44">
        <f>IF(B37='Eingabe Immodaten'!$H$28,Ergebnistabelle!D37*'Eingabe Immodaten'!$H$22,0)</f>
        <v>0</v>
      </c>
      <c r="AQ37" s="44">
        <f>IF(B37='Eingabe Immodaten'!$H$28,Ergebnistabelle!AM37,0)</f>
        <v>0</v>
      </c>
      <c r="AR37" s="44">
        <f>IF(B37='Eingabe Immodaten'!$H$28,Ergebnistabelle!AO37,0)</f>
        <v>0</v>
      </c>
      <c r="AS37" s="44">
        <f>IF(B37='Eingabe Immodaten'!$H$28,Ergebnistabelle!W37,0)</f>
        <v>0</v>
      </c>
      <c r="AT37" s="44">
        <f>IF(B37='Eingabe Immodaten'!$H$28,Ergebnistabelle!G37,0)</f>
        <v>0</v>
      </c>
      <c r="AU37" s="44">
        <f>IF(B37='Eingabe Immodaten'!$H$28,Ergebnistabelle!L37,0)</f>
        <v>0</v>
      </c>
      <c r="AV37" s="191"/>
      <c r="AW37" s="191"/>
      <c r="AX37" s="191"/>
      <c r="AY37" s="191"/>
      <c r="AZ37" s="191"/>
      <c r="BA37" s="191"/>
      <c r="BB37" s="191"/>
      <c r="BC37" s="191"/>
      <c r="BD37" s="191"/>
      <c r="BE37" s="191"/>
      <c r="BF37" s="191"/>
      <c r="BG37" s="191"/>
      <c r="BH37" s="191"/>
      <c r="BI37" s="191"/>
      <c r="BJ37" s="191"/>
      <c r="BK37" s="191"/>
      <c r="BL37" s="191"/>
      <c r="BM37" s="191"/>
    </row>
    <row r="38" spans="1:65">
      <c r="A38" s="191"/>
      <c r="B38" s="45">
        <f>IF(B37=0,0,IF(B37+1&gt;'Eingabe Immodaten'!$H$28,0,B37+1))</f>
        <v>32</v>
      </c>
      <c r="C38" s="49">
        <f t="shared" si="1"/>
        <v>2375.0763280590841</v>
      </c>
      <c r="D38" s="44">
        <f>IF(B38=0,0,D37*(1+'Eingabe Immodaten'!$C$15/100))</f>
        <v>28500.915936709011</v>
      </c>
      <c r="E38" s="44">
        <f t="shared" si="0"/>
        <v>598531.44716034224</v>
      </c>
      <c r="F38" s="44">
        <f>IF(B38=0,0,F37*(1+'Eingabe Immodaten'!$C$16/100))</f>
        <v>1813.4514620642035</v>
      </c>
      <c r="G38" s="44">
        <f t="shared" si="2"/>
        <v>26687.464474644807</v>
      </c>
      <c r="H38" s="44">
        <f>IF(B38=0,0,IF(B38&lt;='Eingabe Immodaten'!$C$28,'Eingabe Immodaten'!$C$32,'Eingabe Immodaten'!$C$34))</f>
        <v>15907.759200000002</v>
      </c>
      <c r="I38" s="44">
        <f>IF(B38=0,0,IF(B38&lt;='Eingabe Immodaten'!$H$6,'Eingabe Immodaten'!$H$9,'Eingabe Immodaten'!$H$11))</f>
        <v>0</v>
      </c>
      <c r="J38" s="44">
        <f t="shared" si="3"/>
        <v>1.0435999999999999E-7</v>
      </c>
      <c r="K38" s="44">
        <f t="shared" si="15"/>
        <v>0</v>
      </c>
      <c r="L38" s="44">
        <f t="shared" si="16"/>
        <v>1.0435999999999999E-7</v>
      </c>
      <c r="M38" s="46"/>
      <c r="N38" s="46"/>
      <c r="O38" s="47">
        <f>IF(B38=0,0,IF(B38&lt;='Eingabe Immodaten'!$C$28,'Eingabe Immodaten'!$C$30,'Eingabe Immodaten'!$C$33))</f>
        <v>4.3600000000000003</v>
      </c>
      <c r="P38" s="44">
        <f t="shared" si="4"/>
        <v>4.359999999999999E-9</v>
      </c>
      <c r="Q38" s="44">
        <f t="shared" si="5"/>
        <v>9.9999999999999995E-8</v>
      </c>
      <c r="R38" s="44">
        <f>IF(B38=0,0,IF(B38&lt;='Eingabe Immodaten'!$H$6,'Eingabe Immodaten'!$H$7,'Eingabe Immodaten'!$H$10))</f>
        <v>2.5299999999999998</v>
      </c>
      <c r="S38" s="44">
        <f t="shared" si="6"/>
        <v>1.169600031995577E-7</v>
      </c>
      <c r="T38" s="44">
        <f t="shared" si="17"/>
        <v>-1.169600031995577E-7</v>
      </c>
      <c r="U38" s="44">
        <f t="shared" si="7"/>
        <v>9.9999999999999982E-8</v>
      </c>
      <c r="V38" s="44">
        <f t="shared" si="8"/>
        <v>4.8398850308500595E-6</v>
      </c>
      <c r="W38" s="44">
        <f t="shared" si="9"/>
        <v>4.9398850308500594E-6</v>
      </c>
      <c r="X38" s="44">
        <f>IF(B38=0,0,'Eingabe Immodaten'!$H$14)</f>
        <v>215104.92000000004</v>
      </c>
      <c r="Y38" s="93">
        <f>IF(B38=0,0,IF(Z37=0,0,('Eingabe Immodaten'!$H$15)))</f>
        <v>0</v>
      </c>
      <c r="Z38" s="93">
        <f>IF(B38=0,0,IF(Z37+1&gt;99,0,Z37+Tabelle12[[#This Row],[Spalte23]]))</f>
        <v>0</v>
      </c>
      <c r="AA38" s="44">
        <f t="shared" si="10"/>
        <v>0</v>
      </c>
      <c r="AB38" s="44"/>
      <c r="AC38" s="44"/>
      <c r="AD38" s="44"/>
      <c r="AE38" s="44">
        <f>IF(B38=0,0,IF(B38&lt;='Eingabe Immodaten'!$C$28,IF('Eingabe Immodaten'!$C$29&gt;5,'Eingabe Immodaten'!$C$29/100*'Eingabe Immodaten'!$C$23/'Eingabe Immodaten'!$C$28,0),0))</f>
        <v>0</v>
      </c>
      <c r="AF38" s="44">
        <f>(G38-P38-S38-AA38-AD38)*'Eingabe Immodaten'!$H$19</f>
        <v>10408.11114506416</v>
      </c>
      <c r="AG38" s="44">
        <f t="shared" si="12"/>
        <v>16279.353329476286</v>
      </c>
      <c r="AH38" s="44"/>
      <c r="AI38" s="44">
        <f>IF(B38='Eingabe Immodaten'!$H$28,U38,0)</f>
        <v>0</v>
      </c>
      <c r="AJ38" s="44">
        <f t="shared" si="13"/>
        <v>16279.353329580646</v>
      </c>
      <c r="AK38" s="44">
        <f t="shared" si="14"/>
        <v>16279.353329476286</v>
      </c>
      <c r="AL38" s="48">
        <f t="shared" si="19"/>
        <v>1356.6127774563572</v>
      </c>
      <c r="AM38" s="44">
        <f t="shared" si="20"/>
        <v>44035.648293677645</v>
      </c>
      <c r="AN38" s="44">
        <f>IF(B38=0,0,D38*(1+'Eingabe Immodaten'!$C$15/100))*'Eingabe Immodaten'!H22</f>
        <v>652289.06267708435</v>
      </c>
      <c r="AO38" s="44">
        <f>IF(D38=0,0,AN38-W38+Tabelle12[[#This Row],[Spalte36]])</f>
        <v>696324.7109658221</v>
      </c>
      <c r="AP38" s="44">
        <f>IF(B38='Eingabe Immodaten'!$H$28,Ergebnistabelle!D38*'Eingabe Immodaten'!$H$22,0)</f>
        <v>0</v>
      </c>
      <c r="AQ38" s="44">
        <f>IF(B38='Eingabe Immodaten'!$H$28,Ergebnistabelle!AM38,0)</f>
        <v>0</v>
      </c>
      <c r="AR38" s="44">
        <f>IF(B38='Eingabe Immodaten'!$H$28,Ergebnistabelle!AO38,0)</f>
        <v>0</v>
      </c>
      <c r="AS38" s="44">
        <f>IF(B38='Eingabe Immodaten'!$H$28,Ergebnistabelle!W38,0)</f>
        <v>0</v>
      </c>
      <c r="AT38" s="44">
        <f>IF(B38='Eingabe Immodaten'!$H$28,Ergebnistabelle!G38,0)</f>
        <v>0</v>
      </c>
      <c r="AU38" s="44">
        <f>IF(B38='Eingabe Immodaten'!$H$28,Ergebnistabelle!L38,0)</f>
        <v>0</v>
      </c>
      <c r="AV38" s="191"/>
      <c r="AW38" s="191"/>
      <c r="AX38" s="191"/>
      <c r="AY38" s="191"/>
      <c r="AZ38" s="191"/>
      <c r="BA38" s="191"/>
      <c r="BB38" s="191"/>
      <c r="BC38" s="191"/>
      <c r="BD38" s="191"/>
      <c r="BE38" s="191"/>
      <c r="BF38" s="191"/>
      <c r="BG38" s="191"/>
      <c r="BH38" s="191"/>
      <c r="BI38" s="191"/>
      <c r="BJ38" s="191"/>
      <c r="BK38" s="191"/>
      <c r="BL38" s="191"/>
      <c r="BM38" s="191"/>
    </row>
    <row r="39" spans="1:65">
      <c r="A39" s="191"/>
      <c r="B39" s="45">
        <f>IF(B38=0,0,IF(B38+1&gt;'Eingabe Immodaten'!$H$28,0,B38+1))</f>
        <v>33</v>
      </c>
      <c r="C39" s="49">
        <f t="shared" si="1"/>
        <v>2446.3286179008569</v>
      </c>
      <c r="D39" s="44">
        <f>IF(B39=0,0,D38*(1+'Eingabe Immodaten'!$C$15/100))</f>
        <v>29355.943414810281</v>
      </c>
      <c r="E39" s="44">
        <f t="shared" si="0"/>
        <v>627887.39057515247</v>
      </c>
      <c r="F39" s="44">
        <f>IF(B39=0,0,F38*(1+'Eingabe Immodaten'!$C$16/100))</f>
        <v>1831.5859766848455</v>
      </c>
      <c r="G39" s="44">
        <f t="shared" si="2"/>
        <v>27524.357438125437</v>
      </c>
      <c r="H39" s="44">
        <f>IF(B39=0,0,IF(B39&lt;='Eingabe Immodaten'!$C$28,'Eingabe Immodaten'!$C$32,'Eingabe Immodaten'!$C$34))</f>
        <v>15907.759200000002</v>
      </c>
      <c r="I39" s="44">
        <f>IF(B39=0,0,IF(B39&lt;='Eingabe Immodaten'!$H$6,'Eingabe Immodaten'!$H$9,'Eingabe Immodaten'!$H$11))</f>
        <v>0</v>
      </c>
      <c r="J39" s="44">
        <f t="shared" si="3"/>
        <v>1.0435999999999999E-7</v>
      </c>
      <c r="K39" s="44">
        <f t="shared" si="15"/>
        <v>0</v>
      </c>
      <c r="L39" s="44">
        <f t="shared" si="16"/>
        <v>1.0435999999999999E-7</v>
      </c>
      <c r="M39" s="46"/>
      <c r="N39" s="46"/>
      <c r="O39" s="47">
        <f>IF(B39=0,0,IF(B39&lt;='Eingabe Immodaten'!$C$28,'Eingabe Immodaten'!$C$30,'Eingabe Immodaten'!$C$33))</f>
        <v>4.3600000000000003</v>
      </c>
      <c r="P39" s="44">
        <f t="shared" si="4"/>
        <v>4.359999999999999E-9</v>
      </c>
      <c r="Q39" s="44">
        <f t="shared" si="5"/>
        <v>9.9999999999999995E-8</v>
      </c>
      <c r="R39" s="44">
        <f>IF(B39=0,0,IF(B39&lt;='Eingabe Immodaten'!$H$6,'Eingabe Immodaten'!$H$7,'Eingabe Immodaten'!$H$10))</f>
        <v>2.5299999999999998</v>
      </c>
      <c r="S39" s="44">
        <f t="shared" si="6"/>
        <v>1.224490912805065E-7</v>
      </c>
      <c r="T39" s="44">
        <f t="shared" si="17"/>
        <v>-1.224490912805065E-7</v>
      </c>
      <c r="U39" s="44">
        <f t="shared" si="7"/>
        <v>9.9999999999999982E-8</v>
      </c>
      <c r="V39" s="44">
        <f t="shared" si="8"/>
        <v>5.0623341221305656E-6</v>
      </c>
      <c r="W39" s="44">
        <f t="shared" si="9"/>
        <v>5.1623341221305655E-6</v>
      </c>
      <c r="X39" s="44">
        <f>IF(B39=0,0,'Eingabe Immodaten'!$H$14)</f>
        <v>215104.92000000004</v>
      </c>
      <c r="Y39" s="93">
        <f>IF(B39=0,0,IF(Z38=0,0,('Eingabe Immodaten'!$H$15)))</f>
        <v>0</v>
      </c>
      <c r="Z39" s="93">
        <f>IF(B39=0,0,IF(Z38+1&gt;99,0,Z38+Tabelle12[[#This Row],[Spalte23]]))</f>
        <v>0</v>
      </c>
      <c r="AA39" s="44">
        <f t="shared" si="10"/>
        <v>0</v>
      </c>
      <c r="AB39" s="44"/>
      <c r="AC39" s="44"/>
      <c r="AD39" s="44"/>
      <c r="AE39" s="44">
        <f>IF(B39=0,0,IF(B39&lt;='Eingabe Immodaten'!$C$28,IF('Eingabe Immodaten'!$C$29&gt;5,'Eingabe Immodaten'!$C$29/100*'Eingabe Immodaten'!$C$23/'Eingabe Immodaten'!$C$28,0),0))</f>
        <v>0</v>
      </c>
      <c r="AF39" s="44">
        <f>(G39-P39-S39-AA39-AD39)*'Eingabe Immodaten'!$H$19</f>
        <v>10734.499400819464</v>
      </c>
      <c r="AG39" s="44">
        <f t="shared" si="12"/>
        <v>16789.858037201615</v>
      </c>
      <c r="AH39" s="44"/>
      <c r="AI39" s="44">
        <f>IF(B39='Eingabe Immodaten'!$H$28,U39,0)</f>
        <v>0</v>
      </c>
      <c r="AJ39" s="44">
        <f t="shared" si="13"/>
        <v>16789.858037305974</v>
      </c>
      <c r="AK39" s="44">
        <f t="shared" si="14"/>
        <v>16789.858037201615</v>
      </c>
      <c r="AL39" s="48">
        <f t="shared" si="19"/>
        <v>1399.1548364334678</v>
      </c>
      <c r="AM39" s="44">
        <f t="shared" si="20"/>
        <v>60825.50633087926</v>
      </c>
      <c r="AN39" s="44">
        <f>IF(B39=0,0,D39*(1+'Eingabe Immodaten'!$C$15/100))*'Eingabe Immodaten'!H22</f>
        <v>671857.73455739697</v>
      </c>
      <c r="AO39" s="44">
        <f>IF(D39=0,0,AN39-W39+Tabelle12[[#This Row],[Spalte36]])</f>
        <v>732683.24088311393</v>
      </c>
      <c r="AP39" s="44">
        <f>IF(B39='Eingabe Immodaten'!$H$28,Ergebnistabelle!D39*'Eingabe Immodaten'!$H$22,0)</f>
        <v>0</v>
      </c>
      <c r="AQ39" s="44">
        <f>IF(B39='Eingabe Immodaten'!$H$28,Ergebnistabelle!AM39,0)</f>
        <v>0</v>
      </c>
      <c r="AR39" s="44">
        <f>IF(B39='Eingabe Immodaten'!$H$28,Ergebnistabelle!AO39,0)</f>
        <v>0</v>
      </c>
      <c r="AS39" s="44">
        <f>IF(B39='Eingabe Immodaten'!$H$28,Ergebnistabelle!W39,0)</f>
        <v>0</v>
      </c>
      <c r="AT39" s="44">
        <f>IF(B39='Eingabe Immodaten'!$H$28,Ergebnistabelle!G39,0)</f>
        <v>0</v>
      </c>
      <c r="AU39" s="44">
        <f>IF(B39='Eingabe Immodaten'!$H$28,Ergebnistabelle!L39,0)</f>
        <v>0</v>
      </c>
      <c r="AV39" s="191"/>
      <c r="AW39" s="191"/>
      <c r="AX39" s="191"/>
      <c r="AY39" s="191"/>
      <c r="AZ39" s="191"/>
      <c r="BA39" s="191"/>
      <c r="BB39" s="191"/>
      <c r="BC39" s="191"/>
      <c r="BD39" s="191"/>
      <c r="BE39" s="191"/>
      <c r="BF39" s="191"/>
      <c r="BG39" s="191"/>
      <c r="BH39" s="191"/>
      <c r="BI39" s="191"/>
      <c r="BJ39" s="191"/>
      <c r="BK39" s="191"/>
      <c r="BL39" s="191"/>
      <c r="BM39" s="191"/>
    </row>
    <row r="40" spans="1:65">
      <c r="A40" s="191"/>
      <c r="B40" s="45">
        <f>IF(B39=0,0,IF(B39+1&gt;'Eingabe Immodaten'!$H$28,0,B39+1))</f>
        <v>34</v>
      </c>
      <c r="C40" s="49">
        <f t="shared" si="1"/>
        <v>2519.7184764378826</v>
      </c>
      <c r="D40" s="44">
        <f>IF(B40=0,0,D39*(1+'Eingabe Immodaten'!$C$15/100))</f>
        <v>30236.621717254591</v>
      </c>
      <c r="E40" s="44">
        <f t="shared" si="0"/>
        <v>658124.0122924071</v>
      </c>
      <c r="F40" s="44">
        <f>IF(B40=0,0,F39*(1+'Eingabe Immodaten'!$C$16/100))</f>
        <v>1849.901836451694</v>
      </c>
      <c r="G40" s="44">
        <f t="shared" si="2"/>
        <v>28386.719880802899</v>
      </c>
      <c r="H40" s="44">
        <f>IF(B40=0,0,IF(B40&lt;='Eingabe Immodaten'!$C$28,'Eingabe Immodaten'!$C$32,'Eingabe Immodaten'!$C$34))</f>
        <v>15907.759200000002</v>
      </c>
      <c r="I40" s="44">
        <f>IF(B40=0,0,IF(B40&lt;='Eingabe Immodaten'!$H$6,'Eingabe Immodaten'!$H$9,'Eingabe Immodaten'!$H$11))</f>
        <v>0</v>
      </c>
      <c r="J40" s="44">
        <f t="shared" si="3"/>
        <v>1.0435999999999999E-7</v>
      </c>
      <c r="K40" s="44">
        <f t="shared" si="15"/>
        <v>0</v>
      </c>
      <c r="L40" s="44">
        <f t="shared" si="16"/>
        <v>1.0435999999999999E-7</v>
      </c>
      <c r="M40" s="46"/>
      <c r="N40" s="46"/>
      <c r="O40" s="47">
        <f>IF(B40=0,0,IF(B40&lt;='Eingabe Immodaten'!$C$28,'Eingabe Immodaten'!$C$30,'Eingabe Immodaten'!$C$33))</f>
        <v>4.3600000000000003</v>
      </c>
      <c r="P40" s="44">
        <f t="shared" si="4"/>
        <v>4.359999999999999E-9</v>
      </c>
      <c r="Q40" s="44">
        <f t="shared" si="5"/>
        <v>9.9999999999999995E-8</v>
      </c>
      <c r="R40" s="44">
        <f>IF(B40=0,0,IF(B40&lt;='Eingabe Immodaten'!$H$6,'Eingabe Immodaten'!$H$7,'Eingabe Immodaten'!$H$10))</f>
        <v>2.5299999999999998</v>
      </c>
      <c r="S40" s="44">
        <f t="shared" si="6"/>
        <v>1.280770532899033E-7</v>
      </c>
      <c r="T40" s="44">
        <f t="shared" si="17"/>
        <v>-1.280770532899033E-7</v>
      </c>
      <c r="U40" s="44">
        <f t="shared" si="7"/>
        <v>9.9999999999999982E-8</v>
      </c>
      <c r="V40" s="44">
        <f t="shared" si="8"/>
        <v>5.2904111754204686E-6</v>
      </c>
      <c r="W40" s="44">
        <f t="shared" si="9"/>
        <v>5.3904111754204685E-6</v>
      </c>
      <c r="X40" s="44">
        <f>IF(B40=0,0,'Eingabe Immodaten'!$H$14)</f>
        <v>215104.92000000004</v>
      </c>
      <c r="Y40" s="93">
        <f>IF(B40=0,0,IF(Z39=0,0,('Eingabe Immodaten'!$H$15)))</f>
        <v>0</v>
      </c>
      <c r="Z40" s="93">
        <f>IF(B40=0,0,IF(Z39+1&gt;99,0,Z39+Tabelle12[[#This Row],[Spalte23]]))</f>
        <v>0</v>
      </c>
      <c r="AA40" s="44">
        <f t="shared" si="10"/>
        <v>0</v>
      </c>
      <c r="AB40" s="44"/>
      <c r="AC40" s="44"/>
      <c r="AD40" s="44"/>
      <c r="AE40" s="44">
        <f>IF(B40=0,0,IF(B40&lt;='Eingabe Immodaten'!$C$28,IF('Eingabe Immodaten'!$C$29&gt;5,'Eingabe Immodaten'!$C$29/100*'Eingabe Immodaten'!$C$23/'Eingabe Immodaten'!$C$28,0),0))</f>
        <v>0</v>
      </c>
      <c r="AF40" s="44">
        <f>(G40-P40-S40-AA40-AD40)*'Eingabe Immodaten'!$H$19</f>
        <v>11070.820753461481</v>
      </c>
      <c r="AG40" s="44">
        <f t="shared" si="12"/>
        <v>17315.899127237059</v>
      </c>
      <c r="AH40" s="44"/>
      <c r="AI40" s="44">
        <f>IF(B40='Eingabe Immodaten'!$H$28,U40,0)</f>
        <v>0</v>
      </c>
      <c r="AJ40" s="44">
        <f t="shared" si="13"/>
        <v>17315.899127341418</v>
      </c>
      <c r="AK40" s="44">
        <f t="shared" si="14"/>
        <v>17315.899127237059</v>
      </c>
      <c r="AL40" s="48">
        <f t="shared" si="19"/>
        <v>1442.9915939364216</v>
      </c>
      <c r="AM40" s="44">
        <f t="shared" si="20"/>
        <v>78141.405458116322</v>
      </c>
      <c r="AN40" s="44">
        <f>IF(B40=0,0,D40*(1+'Eingabe Immodaten'!$C$15/100))*'Eingabe Immodaten'!H22</f>
        <v>692013.46659411886</v>
      </c>
      <c r="AO40" s="44">
        <f>IF(D40=0,0,AN40-W40+Tabelle12[[#This Row],[Spalte36]])</f>
        <v>770154.8720468448</v>
      </c>
      <c r="AP40" s="44">
        <f>IF(B40='Eingabe Immodaten'!$H$28,Ergebnistabelle!D40*'Eingabe Immodaten'!$H$22,0)</f>
        <v>0</v>
      </c>
      <c r="AQ40" s="44">
        <f>IF(B40='Eingabe Immodaten'!$H$28,Ergebnistabelle!AM40,0)</f>
        <v>0</v>
      </c>
      <c r="AR40" s="44">
        <f>IF(B40='Eingabe Immodaten'!$H$28,Ergebnistabelle!AO40,0)</f>
        <v>0</v>
      </c>
      <c r="AS40" s="44">
        <f>IF(B40='Eingabe Immodaten'!$H$28,Ergebnistabelle!W40,0)</f>
        <v>0</v>
      </c>
      <c r="AT40" s="44">
        <f>IF(B40='Eingabe Immodaten'!$H$28,Ergebnistabelle!G40,0)</f>
        <v>0</v>
      </c>
      <c r="AU40" s="44">
        <f>IF(B40='Eingabe Immodaten'!$H$28,Ergebnistabelle!L40,0)</f>
        <v>0</v>
      </c>
      <c r="AV40" s="191"/>
      <c r="AW40" s="191"/>
      <c r="AX40" s="191"/>
      <c r="AY40" s="191"/>
      <c r="AZ40" s="191"/>
      <c r="BA40" s="191"/>
      <c r="BB40" s="191"/>
      <c r="BC40" s="191"/>
      <c r="BD40" s="191"/>
      <c r="BE40" s="191"/>
      <c r="BF40" s="191"/>
      <c r="BG40" s="191"/>
      <c r="BH40" s="191"/>
      <c r="BI40" s="191"/>
      <c r="BJ40" s="191"/>
      <c r="BK40" s="191"/>
      <c r="BL40" s="191"/>
      <c r="BM40" s="191"/>
    </row>
    <row r="41" spans="1:65">
      <c r="A41" s="191"/>
      <c r="B41" s="45">
        <f>IF(B40=0,0,IF(B40+1&gt;'Eingabe Immodaten'!$H$28,0,B40+1))</f>
        <v>35</v>
      </c>
      <c r="C41" s="49">
        <f t="shared" si="1"/>
        <v>2595.3100307310192</v>
      </c>
      <c r="D41" s="44">
        <f>IF(B41=0,0,D40*(1+'Eingabe Immodaten'!$C$15/100))</f>
        <v>31143.720368772229</v>
      </c>
      <c r="E41" s="44">
        <f t="shared" si="0"/>
        <v>689267.73266117938</v>
      </c>
      <c r="F41" s="44">
        <f>IF(B41=0,0,F40*(1+'Eingabe Immodaten'!$C$16/100))</f>
        <v>1868.400854816211</v>
      </c>
      <c r="G41" s="44">
        <f t="shared" si="2"/>
        <v>29275.319513956019</v>
      </c>
      <c r="H41" s="44">
        <f>IF(B41=0,0,IF(B41&lt;='Eingabe Immodaten'!$C$28,'Eingabe Immodaten'!$C$32,'Eingabe Immodaten'!$C$34))</f>
        <v>15907.759200000002</v>
      </c>
      <c r="I41" s="44">
        <f>IF(B41=0,0,IF(B41&lt;='Eingabe Immodaten'!$H$6,'Eingabe Immodaten'!$H$9,'Eingabe Immodaten'!$H$11))</f>
        <v>0</v>
      </c>
      <c r="J41" s="44">
        <f t="shared" si="3"/>
        <v>1.0435999999999999E-7</v>
      </c>
      <c r="K41" s="44">
        <f t="shared" si="15"/>
        <v>0</v>
      </c>
      <c r="L41" s="44">
        <f t="shared" si="16"/>
        <v>1.0435999999999999E-7</v>
      </c>
      <c r="M41" s="46"/>
      <c r="N41" s="46"/>
      <c r="O41" s="47">
        <f>IF(B41=0,0,IF(B41&lt;='Eingabe Immodaten'!$C$28,'Eingabe Immodaten'!$C$30,'Eingabe Immodaten'!$C$33))</f>
        <v>4.3600000000000003</v>
      </c>
      <c r="P41" s="44">
        <f t="shared" si="4"/>
        <v>4.359999999999999E-9</v>
      </c>
      <c r="Q41" s="44">
        <f t="shared" si="5"/>
        <v>9.9999999999999995E-8</v>
      </c>
      <c r="R41" s="44">
        <f>IF(B41=0,0,IF(B41&lt;='Eingabe Immodaten'!$H$6,'Eingabe Immodaten'!$H$7,'Eingabe Immodaten'!$H$10))</f>
        <v>2.5299999999999998</v>
      </c>
      <c r="S41" s="44">
        <f t="shared" si="6"/>
        <v>1.3384740273813786E-7</v>
      </c>
      <c r="T41" s="44">
        <f t="shared" si="17"/>
        <v>-1.3384740273813786E-7</v>
      </c>
      <c r="U41" s="44">
        <f t="shared" si="7"/>
        <v>9.9999999999999982E-8</v>
      </c>
      <c r="V41" s="44">
        <f t="shared" si="8"/>
        <v>5.5242585781586062E-6</v>
      </c>
      <c r="W41" s="44">
        <f t="shared" si="9"/>
        <v>5.624258578158606E-6</v>
      </c>
      <c r="X41" s="44">
        <f>IF(B41=0,0,'Eingabe Immodaten'!$H$14)</f>
        <v>215104.92000000004</v>
      </c>
      <c r="Y41" s="93">
        <f>IF(B41=0,0,IF(Z40=0,0,('Eingabe Immodaten'!$H$15)))</f>
        <v>0</v>
      </c>
      <c r="Z41" s="93">
        <f>IF(B41=0,0,IF(Z40+1&gt;99,0,Z40+Tabelle12[[#This Row],[Spalte23]]))</f>
        <v>0</v>
      </c>
      <c r="AA41" s="44">
        <f t="shared" si="10"/>
        <v>0</v>
      </c>
      <c r="AB41" s="44"/>
      <c r="AC41" s="44"/>
      <c r="AD41" s="44"/>
      <c r="AE41" s="44">
        <f>IF(B41=0,0,IF(B41&lt;='Eingabe Immodaten'!$C$28,IF('Eingabe Immodaten'!$C$29&gt;5,'Eingabe Immodaten'!$C$29/100*'Eingabe Immodaten'!$C$23/'Eingabe Immodaten'!$C$28,0),0))</f>
        <v>0</v>
      </c>
      <c r="AF41" s="44">
        <f>(G41-P41-S41-AA41-AD41)*'Eingabe Immodaten'!$H$19</f>
        <v>11417.374610388948</v>
      </c>
      <c r="AG41" s="44">
        <f t="shared" si="12"/>
        <v>17857.94490346271</v>
      </c>
      <c r="AH41" s="44"/>
      <c r="AI41" s="44">
        <f>IF(B41='Eingabe Immodaten'!$H$28,U41,0)</f>
        <v>0</v>
      </c>
      <c r="AJ41" s="44">
        <f t="shared" si="13"/>
        <v>17857.94490356707</v>
      </c>
      <c r="AK41" s="44">
        <f t="shared" si="14"/>
        <v>17857.94490346271</v>
      </c>
      <c r="AL41" s="48">
        <f t="shared" si="19"/>
        <v>1488.1620752885592</v>
      </c>
      <c r="AM41" s="44">
        <f t="shared" si="20"/>
        <v>95999.35036157904</v>
      </c>
      <c r="AN41" s="44">
        <f>IF(B41=0,0,D41*(1+'Eingabe Immodaten'!$C$15/100))*'Eingabe Immodaten'!H22</f>
        <v>712773.87059194245</v>
      </c>
      <c r="AO41" s="44">
        <f>IF(D41=0,0,AN41-W41+Tabelle12[[#This Row],[Spalte36]])</f>
        <v>808773.22094789729</v>
      </c>
      <c r="AP41" s="44">
        <f>IF(B41='Eingabe Immodaten'!$H$28,Ergebnistabelle!D41*'Eingabe Immodaten'!$H$22,0)</f>
        <v>0</v>
      </c>
      <c r="AQ41" s="44">
        <f>IF(B41='Eingabe Immodaten'!$H$28,Ergebnistabelle!AM41,0)</f>
        <v>0</v>
      </c>
      <c r="AR41" s="44">
        <f>IF(B41='Eingabe Immodaten'!$H$28,Ergebnistabelle!AO41,0)</f>
        <v>0</v>
      </c>
      <c r="AS41" s="44">
        <f>IF(B41='Eingabe Immodaten'!$H$28,Ergebnistabelle!W41,0)</f>
        <v>0</v>
      </c>
      <c r="AT41" s="44">
        <f>IF(B41='Eingabe Immodaten'!$H$28,Ergebnistabelle!G41,0)</f>
        <v>0</v>
      </c>
      <c r="AU41" s="44">
        <f>IF(B41='Eingabe Immodaten'!$H$28,Ergebnistabelle!L41,0)</f>
        <v>0</v>
      </c>
      <c r="AV41" s="191"/>
      <c r="AW41" s="191"/>
      <c r="AX41" s="191"/>
      <c r="AY41" s="191"/>
      <c r="AZ41" s="191"/>
      <c r="BA41" s="191"/>
      <c r="BB41" s="191"/>
      <c r="BC41" s="191"/>
      <c r="BD41" s="191"/>
      <c r="BE41" s="191"/>
      <c r="BF41" s="191"/>
      <c r="BG41" s="191"/>
      <c r="BH41" s="191"/>
      <c r="BI41" s="191"/>
      <c r="BJ41" s="191"/>
      <c r="BK41" s="191"/>
      <c r="BL41" s="191"/>
      <c r="BM41" s="191"/>
    </row>
    <row r="42" spans="1:65">
      <c r="A42" s="191"/>
      <c r="B42" s="45">
        <f>IF(B41=0,0,IF(B41+1&gt;'Eingabe Immodaten'!$H$28,0,B41+1))</f>
        <v>36</v>
      </c>
      <c r="C42" s="49">
        <f t="shared" si="1"/>
        <v>2673.1693316529495</v>
      </c>
      <c r="D42" s="44">
        <f>IF(B42=0,0,D41*(1+'Eingabe Immodaten'!$C$15/100))</f>
        <v>32078.031979835396</v>
      </c>
      <c r="E42" s="44">
        <f t="shared" si="0"/>
        <v>721345.76464101474</v>
      </c>
      <c r="F42" s="44">
        <f>IF(B42=0,0,F41*(1+'Eingabe Immodaten'!$C$16/100))</f>
        <v>1887.0848633643732</v>
      </c>
      <c r="G42" s="44">
        <f t="shared" si="2"/>
        <v>30190.947116471023</v>
      </c>
      <c r="H42" s="44">
        <f>IF(B42=0,0,IF(B42&lt;='Eingabe Immodaten'!$C$28,'Eingabe Immodaten'!$C$32,'Eingabe Immodaten'!$C$34))</f>
        <v>15907.759200000002</v>
      </c>
      <c r="I42" s="44">
        <f>IF(B42=0,0,IF(B42&lt;='Eingabe Immodaten'!$H$6,'Eingabe Immodaten'!$H$9,'Eingabe Immodaten'!$H$11))</f>
        <v>0</v>
      </c>
      <c r="J42" s="44">
        <f t="shared" si="3"/>
        <v>1.0435999999999999E-7</v>
      </c>
      <c r="K42" s="44">
        <f t="shared" si="15"/>
        <v>0</v>
      </c>
      <c r="L42" s="44">
        <f t="shared" si="16"/>
        <v>1.0435999999999999E-7</v>
      </c>
      <c r="M42" s="46"/>
      <c r="N42" s="46"/>
      <c r="O42" s="47">
        <f>IF(B42=0,0,IF(B42&lt;='Eingabe Immodaten'!$C$28,'Eingabe Immodaten'!$C$30,'Eingabe Immodaten'!$C$33))</f>
        <v>4.3600000000000003</v>
      </c>
      <c r="P42" s="44">
        <f t="shared" si="4"/>
        <v>4.359999999999999E-9</v>
      </c>
      <c r="Q42" s="44">
        <f t="shared" si="5"/>
        <v>9.9999999999999995E-8</v>
      </c>
      <c r="R42" s="44">
        <f>IF(B42=0,0,IF(B42&lt;='Eingabe Immodaten'!$H$6,'Eingabe Immodaten'!$H$7,'Eingabe Immodaten'!$H$10))</f>
        <v>2.5299999999999998</v>
      </c>
      <c r="S42" s="44">
        <f t="shared" si="6"/>
        <v>1.3976374202741274E-7</v>
      </c>
      <c r="T42" s="44">
        <f t="shared" si="17"/>
        <v>-1.3976374202741274E-7</v>
      </c>
      <c r="U42" s="44">
        <f t="shared" si="7"/>
        <v>9.9999999999999982E-8</v>
      </c>
      <c r="V42" s="44">
        <f t="shared" si="8"/>
        <v>5.7640223201860185E-6</v>
      </c>
      <c r="W42" s="44">
        <f t="shared" si="9"/>
        <v>5.8640223201860183E-6</v>
      </c>
      <c r="X42" s="44">
        <f>IF(B42=0,0,'Eingabe Immodaten'!$H$14)</f>
        <v>215104.92000000004</v>
      </c>
      <c r="Y42" s="93">
        <f>IF(B42=0,0,IF(Z41=0,0,('Eingabe Immodaten'!$H$15)))</f>
        <v>0</v>
      </c>
      <c r="Z42" s="93">
        <f>IF(B42=0,0,IF(Z41+1&gt;99,0,Z41+Tabelle12[[#This Row],[Spalte23]]))</f>
        <v>0</v>
      </c>
      <c r="AA42" s="44">
        <f t="shared" si="10"/>
        <v>0</v>
      </c>
      <c r="AB42" s="44"/>
      <c r="AC42" s="44"/>
      <c r="AD42" s="44"/>
      <c r="AE42" s="44">
        <f>IF(B42=0,0,IF(B42&lt;='Eingabe Immodaten'!$C$28,IF('Eingabe Immodaten'!$C$29&gt;5,'Eingabe Immodaten'!$C$29/100*'Eingabe Immodaten'!$C$23/'Eingabe Immodaten'!$C$28,0),0))</f>
        <v>0</v>
      </c>
      <c r="AF42" s="44">
        <f>(G42-P42-S42-AA42-AD42)*'Eingabe Immodaten'!$H$19</f>
        <v>11774.469375367491</v>
      </c>
      <c r="AG42" s="44">
        <f t="shared" si="12"/>
        <v>18416.477740999173</v>
      </c>
      <c r="AH42" s="44"/>
      <c r="AI42" s="44">
        <f>IF(B42='Eingabe Immodaten'!$H$28,U42,0)</f>
        <v>0</v>
      </c>
      <c r="AJ42" s="44">
        <f t="shared" si="13"/>
        <v>18416.477741103532</v>
      </c>
      <c r="AK42" s="44">
        <f t="shared" si="14"/>
        <v>18416.477740999173</v>
      </c>
      <c r="AL42" s="48">
        <f t="shared" si="19"/>
        <v>1534.7064784165977</v>
      </c>
      <c r="AM42" s="44">
        <f t="shared" si="20"/>
        <v>114415.82810257821</v>
      </c>
      <c r="AN42" s="44">
        <f>IF(B42=0,0,D42*(1+'Eingabe Immodaten'!$C$15/100))*'Eingabe Immodaten'!H22</f>
        <v>734157.08670970076</v>
      </c>
      <c r="AO42" s="44">
        <f>IF(D42=0,0,AN42-W42+Tabelle12[[#This Row],[Spalte36]])</f>
        <v>848572.91480641486</v>
      </c>
      <c r="AP42" s="44">
        <f>IF(B42='Eingabe Immodaten'!$H$28,Ergebnistabelle!D42*'Eingabe Immodaten'!$H$22,0)</f>
        <v>0</v>
      </c>
      <c r="AQ42" s="44">
        <f>IF(B42='Eingabe Immodaten'!$H$28,Ergebnistabelle!AM42,0)</f>
        <v>0</v>
      </c>
      <c r="AR42" s="44">
        <f>IF(B42='Eingabe Immodaten'!$H$28,Ergebnistabelle!AO42,0)</f>
        <v>0</v>
      </c>
      <c r="AS42" s="44">
        <f>IF(B42='Eingabe Immodaten'!$H$28,Ergebnistabelle!W42,0)</f>
        <v>0</v>
      </c>
      <c r="AT42" s="44">
        <f>IF(B42='Eingabe Immodaten'!$H$28,Ergebnistabelle!G42,0)</f>
        <v>0</v>
      </c>
      <c r="AU42" s="44">
        <f>IF(B42='Eingabe Immodaten'!$H$28,Ergebnistabelle!L42,0)</f>
        <v>0</v>
      </c>
      <c r="AV42" s="191"/>
      <c r="AW42" s="191"/>
      <c r="AX42" s="191"/>
      <c r="AY42" s="191"/>
      <c r="AZ42" s="191"/>
      <c r="BA42" s="191"/>
      <c r="BB42" s="191"/>
      <c r="BC42" s="191"/>
      <c r="BD42" s="191"/>
      <c r="BE42" s="191"/>
      <c r="BF42" s="191"/>
      <c r="BG42" s="191"/>
      <c r="BH42" s="191"/>
      <c r="BI42" s="191"/>
      <c r="BJ42" s="191"/>
      <c r="BK42" s="191"/>
      <c r="BL42" s="191"/>
      <c r="BM42" s="191"/>
    </row>
    <row r="43" spans="1:65">
      <c r="A43" s="191"/>
      <c r="B43" s="45">
        <f>IF(B42=0,0,IF(B42+1&gt;'Eingabe Immodaten'!$H$28,0,B42+1))</f>
        <v>37</v>
      </c>
      <c r="C43" s="49">
        <f t="shared" si="1"/>
        <v>2753.3644116025384</v>
      </c>
      <c r="D43" s="44">
        <f>IF(B43=0,0,D42*(1+'Eingabe Immodaten'!$C$15/100))</f>
        <v>33040.372939230459</v>
      </c>
      <c r="E43" s="44">
        <f t="shared" si="0"/>
        <v>754386.13758024515</v>
      </c>
      <c r="F43" s="44">
        <f>IF(B43=0,0,F42*(1+'Eingabe Immodaten'!$C$16/100))</f>
        <v>1905.955711998017</v>
      </c>
      <c r="G43" s="44">
        <f t="shared" si="2"/>
        <v>31134.417227232443</v>
      </c>
      <c r="H43" s="44">
        <f>IF(B43=0,0,IF(B43&lt;='Eingabe Immodaten'!$C$28,'Eingabe Immodaten'!$C$32,'Eingabe Immodaten'!$C$34))</f>
        <v>15907.759200000002</v>
      </c>
      <c r="I43" s="44">
        <f>IF(B43=0,0,IF(B43&lt;='Eingabe Immodaten'!$H$6,'Eingabe Immodaten'!$H$9,'Eingabe Immodaten'!$H$11))</f>
        <v>0</v>
      </c>
      <c r="J43" s="44">
        <f t="shared" si="3"/>
        <v>1.0435999999999999E-7</v>
      </c>
      <c r="K43" s="44">
        <f t="shared" si="15"/>
        <v>0</v>
      </c>
      <c r="L43" s="44">
        <f t="shared" si="16"/>
        <v>1.0435999999999999E-7</v>
      </c>
      <c r="M43" s="46"/>
      <c r="N43" s="46"/>
      <c r="O43" s="47">
        <f>IF(B43=0,0,IF(B43&lt;='Eingabe Immodaten'!$C$28,'Eingabe Immodaten'!$C$30,'Eingabe Immodaten'!$C$33))</f>
        <v>4.3600000000000003</v>
      </c>
      <c r="P43" s="44">
        <f t="shared" si="4"/>
        <v>4.359999999999999E-9</v>
      </c>
      <c r="Q43" s="44">
        <f t="shared" si="5"/>
        <v>9.9999999999999995E-8</v>
      </c>
      <c r="R43" s="44">
        <f>IF(B43=0,0,IF(B43&lt;='Eingabe Immodaten'!$H$6,'Eingabe Immodaten'!$H$7,'Eingabe Immodaten'!$H$10))</f>
        <v>2.5299999999999998</v>
      </c>
      <c r="S43" s="44">
        <f t="shared" si="6"/>
        <v>1.4582976470070625E-7</v>
      </c>
      <c r="T43" s="44">
        <f t="shared" si="17"/>
        <v>-1.4582976470070625E-7</v>
      </c>
      <c r="U43" s="44">
        <f t="shared" si="7"/>
        <v>9.9999999999999982E-8</v>
      </c>
      <c r="V43" s="44">
        <f t="shared" si="8"/>
        <v>6.009852084886725E-6</v>
      </c>
      <c r="W43" s="44">
        <f t="shared" si="9"/>
        <v>6.1098520848867249E-6</v>
      </c>
      <c r="X43" s="44">
        <f>IF(B43=0,0,'Eingabe Immodaten'!$H$14)</f>
        <v>215104.92000000004</v>
      </c>
      <c r="Y43" s="93">
        <f>IF(B43=0,0,IF(Z42=0,0,('Eingabe Immodaten'!$H$15)))</f>
        <v>0</v>
      </c>
      <c r="Z43" s="93">
        <f>IF(B43=0,0,IF(Z42+1&gt;99,0,Z42+Tabelle12[[#This Row],[Spalte23]]))</f>
        <v>0</v>
      </c>
      <c r="AA43" s="44">
        <f t="shared" si="10"/>
        <v>0</v>
      </c>
      <c r="AB43" s="44"/>
      <c r="AC43" s="44"/>
      <c r="AD43" s="44"/>
      <c r="AE43" s="44">
        <f>IF(B43=0,0,IF(B43&lt;='Eingabe Immodaten'!$C$28,IF('Eingabe Immodaten'!$C$29&gt;5,'Eingabe Immodaten'!$C$29/100*'Eingabe Immodaten'!$C$23/'Eingabe Immodaten'!$C$28,0),0))</f>
        <v>0</v>
      </c>
      <c r="AF43" s="44">
        <f>(G43-P43-S43-AA43-AD43)*'Eingabe Immodaten'!$H$19</f>
        <v>12142.42271856208</v>
      </c>
      <c r="AG43" s="44">
        <f t="shared" si="12"/>
        <v>18991.994508566004</v>
      </c>
      <c r="AH43" s="44"/>
      <c r="AI43" s="44">
        <f>IF(B43='Eingabe Immodaten'!$H$28,U43,0)</f>
        <v>0</v>
      </c>
      <c r="AJ43" s="44">
        <f t="shared" si="13"/>
        <v>18991.994508670363</v>
      </c>
      <c r="AK43" s="44">
        <f t="shared" si="14"/>
        <v>18991.994508566004</v>
      </c>
      <c r="AL43" s="48">
        <f t="shared" si="19"/>
        <v>1582.6662090471671</v>
      </c>
      <c r="AM43" s="44">
        <f t="shared" si="20"/>
        <v>133407.82261114422</v>
      </c>
      <c r="AN43" s="44">
        <f>IF(B43=0,0,D43*(1+'Eingabe Immodaten'!$C$15/100))*'Eingabe Immodaten'!H22</f>
        <v>756181.79931099189</v>
      </c>
      <c r="AO43" s="44">
        <f>IF(D43=0,0,AN43-W43+Tabelle12[[#This Row],[Spalte36]])</f>
        <v>889589.62191602634</v>
      </c>
      <c r="AP43" s="44">
        <f>IF(B43='Eingabe Immodaten'!$H$28,Ergebnistabelle!D43*'Eingabe Immodaten'!$H$22,0)</f>
        <v>0</v>
      </c>
      <c r="AQ43" s="44">
        <f>IF(B43='Eingabe Immodaten'!$H$28,Ergebnistabelle!AM43,0)</f>
        <v>0</v>
      </c>
      <c r="AR43" s="44">
        <f>IF(B43='Eingabe Immodaten'!$H$28,Ergebnistabelle!AO43,0)</f>
        <v>0</v>
      </c>
      <c r="AS43" s="44">
        <f>IF(B43='Eingabe Immodaten'!$H$28,Ergebnistabelle!W43,0)</f>
        <v>0</v>
      </c>
      <c r="AT43" s="44">
        <f>IF(B43='Eingabe Immodaten'!$H$28,Ergebnistabelle!G43,0)</f>
        <v>0</v>
      </c>
      <c r="AU43" s="44">
        <f>IF(B43='Eingabe Immodaten'!$H$28,Ergebnistabelle!L43,0)</f>
        <v>0</v>
      </c>
      <c r="AV43" s="191"/>
      <c r="AW43" s="191"/>
      <c r="AX43" s="191"/>
      <c r="AY43" s="191"/>
      <c r="AZ43" s="191"/>
      <c r="BA43" s="191"/>
      <c r="BB43" s="191"/>
      <c r="BC43" s="191"/>
      <c r="BD43" s="191"/>
      <c r="BE43" s="191"/>
      <c r="BF43" s="191"/>
      <c r="BG43" s="191"/>
      <c r="BH43" s="191"/>
      <c r="BI43" s="191"/>
      <c r="BJ43" s="191"/>
      <c r="BK43" s="191"/>
      <c r="BL43" s="191"/>
      <c r="BM43" s="191"/>
    </row>
    <row r="44" spans="1:65">
      <c r="A44" s="191"/>
      <c r="B44" s="45">
        <f>IF(B43=0,0,IF(B43+1&gt;'Eingabe Immodaten'!$H$28,0,B43+1))</f>
        <v>38</v>
      </c>
      <c r="C44" s="49">
        <f t="shared" si="1"/>
        <v>2835.9653439506146</v>
      </c>
      <c r="D44" s="44">
        <f>IF(B44=0,0,D43*(1+'Eingabe Immodaten'!$C$15/100))</f>
        <v>34031.584127407375</v>
      </c>
      <c r="E44" s="44">
        <f t="shared" si="0"/>
        <v>788417.72170765256</v>
      </c>
      <c r="F44" s="44">
        <f>IF(B44=0,0,F43*(1+'Eingabe Immodaten'!$C$16/100))</f>
        <v>1925.0152691179971</v>
      </c>
      <c r="G44" s="44">
        <f t="shared" si="2"/>
        <v>32106.568858289378</v>
      </c>
      <c r="H44" s="44">
        <f>IF(B44=0,0,IF(B44&lt;='Eingabe Immodaten'!$C$28,'Eingabe Immodaten'!$C$32,'Eingabe Immodaten'!$C$34))</f>
        <v>15907.759200000002</v>
      </c>
      <c r="I44" s="44">
        <f>IF(B44=0,0,IF(B44&lt;='Eingabe Immodaten'!$H$6,'Eingabe Immodaten'!$H$9,'Eingabe Immodaten'!$H$11))</f>
        <v>0</v>
      </c>
      <c r="J44" s="44">
        <f t="shared" si="3"/>
        <v>1.0435999999999999E-7</v>
      </c>
      <c r="K44" s="44">
        <f t="shared" si="15"/>
        <v>0</v>
      </c>
      <c r="L44" s="44">
        <f t="shared" si="16"/>
        <v>1.0435999999999999E-7</v>
      </c>
      <c r="M44" s="46"/>
      <c r="N44" s="46"/>
      <c r="O44" s="47">
        <f>IF(B44=0,0,IF(B44&lt;='Eingabe Immodaten'!$C$28,'Eingabe Immodaten'!$C$30,'Eingabe Immodaten'!$C$33))</f>
        <v>4.3600000000000003</v>
      </c>
      <c r="P44" s="44">
        <f t="shared" si="4"/>
        <v>4.359999999999999E-9</v>
      </c>
      <c r="Q44" s="44">
        <f t="shared" si="5"/>
        <v>9.9999999999999995E-8</v>
      </c>
      <c r="R44" s="44">
        <f>IF(B44=0,0,IF(B44&lt;='Eingabe Immodaten'!$H$6,'Eingabe Immodaten'!$H$7,'Eingabe Immodaten'!$H$10))</f>
        <v>2.5299999999999998</v>
      </c>
      <c r="S44" s="44">
        <f t="shared" si="6"/>
        <v>1.5204925774763413E-7</v>
      </c>
      <c r="T44" s="44">
        <f t="shared" si="17"/>
        <v>-1.5204925774763413E-7</v>
      </c>
      <c r="U44" s="44">
        <f t="shared" si="7"/>
        <v>9.9999999999999982E-8</v>
      </c>
      <c r="V44" s="44">
        <f t="shared" si="8"/>
        <v>6.2619013426343592E-6</v>
      </c>
      <c r="W44" s="44">
        <f t="shared" si="9"/>
        <v>6.3619013426343591E-6</v>
      </c>
      <c r="X44" s="44">
        <f>IF(B44=0,0,'Eingabe Immodaten'!$H$14)</f>
        <v>215104.92000000004</v>
      </c>
      <c r="Y44" s="93">
        <f>IF(B44=0,0,IF(Z43=0,0,('Eingabe Immodaten'!$H$15)))</f>
        <v>0</v>
      </c>
      <c r="Z44" s="93">
        <f>IF(B44=0,0,IF(Z43+1&gt;99,0,Z43+Tabelle12[[#This Row],[Spalte23]]))</f>
        <v>0</v>
      </c>
      <c r="AA44" s="44">
        <f t="shared" si="10"/>
        <v>0</v>
      </c>
      <c r="AB44" s="44"/>
      <c r="AC44" s="44"/>
      <c r="AD44" s="44"/>
      <c r="AE44" s="44">
        <f>IF(B44=0,0,IF(B44&lt;='Eingabe Immodaten'!$C$28,IF('Eingabe Immodaten'!$C$29&gt;5,'Eingabe Immodaten'!$C$29/100*'Eingabe Immodaten'!$C$23/'Eingabe Immodaten'!$C$28,0),0))</f>
        <v>0</v>
      </c>
      <c r="AF44" s="44">
        <f>(G44-P44-S44-AA44-AD44)*'Eingabe Immodaten'!$H$19</f>
        <v>12521.56185467186</v>
      </c>
      <c r="AG44" s="44">
        <f t="shared" si="12"/>
        <v>19585.007003513158</v>
      </c>
      <c r="AH44" s="44"/>
      <c r="AI44" s="44">
        <f>IF(B44='Eingabe Immodaten'!$H$28,U44,0)</f>
        <v>0</v>
      </c>
      <c r="AJ44" s="44">
        <f t="shared" si="13"/>
        <v>19585.007003617517</v>
      </c>
      <c r="AK44" s="44">
        <f t="shared" si="14"/>
        <v>19585.007003513158</v>
      </c>
      <c r="AL44" s="48">
        <f t="shared" si="19"/>
        <v>1632.0839169594299</v>
      </c>
      <c r="AM44" s="44">
        <f t="shared" si="20"/>
        <v>152992.82961465738</v>
      </c>
      <c r="AN44" s="44">
        <f>IF(B44=0,0,D44*(1+'Eingabe Immodaten'!$C$15/100))*'Eingabe Immodaten'!H22</f>
        <v>778867.25329032156</v>
      </c>
      <c r="AO44" s="44">
        <f>IF(D44=0,0,AN44-W44+Tabelle12[[#This Row],[Spalte36]])</f>
        <v>931860.08289861702</v>
      </c>
      <c r="AP44" s="44">
        <f>IF(B44='Eingabe Immodaten'!$H$28,Ergebnistabelle!D44*'Eingabe Immodaten'!$H$22,0)</f>
        <v>0</v>
      </c>
      <c r="AQ44" s="44">
        <f>IF(B44='Eingabe Immodaten'!$H$28,Ergebnistabelle!AM44,0)</f>
        <v>0</v>
      </c>
      <c r="AR44" s="44">
        <f>IF(B44='Eingabe Immodaten'!$H$28,Ergebnistabelle!AO44,0)</f>
        <v>0</v>
      </c>
      <c r="AS44" s="44">
        <f>IF(B44='Eingabe Immodaten'!$H$28,Ergebnistabelle!W44,0)</f>
        <v>0</v>
      </c>
      <c r="AT44" s="44">
        <f>IF(B44='Eingabe Immodaten'!$H$28,Ergebnistabelle!G44,0)</f>
        <v>0</v>
      </c>
      <c r="AU44" s="44">
        <f>IF(B44='Eingabe Immodaten'!$H$28,Ergebnistabelle!L44,0)</f>
        <v>0</v>
      </c>
      <c r="AV44" s="191"/>
      <c r="AW44" s="191"/>
      <c r="AX44" s="191"/>
      <c r="AY44" s="191"/>
      <c r="AZ44" s="191"/>
      <c r="BA44" s="191"/>
      <c r="BB44" s="191"/>
      <c r="BC44" s="191"/>
      <c r="BD44" s="191"/>
      <c r="BE44" s="191"/>
      <c r="BF44" s="191"/>
      <c r="BG44" s="191"/>
      <c r="BH44" s="191"/>
      <c r="BI44" s="191"/>
      <c r="BJ44" s="191"/>
      <c r="BK44" s="191"/>
      <c r="BL44" s="191"/>
      <c r="BM44" s="191"/>
    </row>
    <row r="45" spans="1:65">
      <c r="A45" s="191"/>
      <c r="B45" s="45">
        <f>IF(B44=0,0,IF(B44+1&gt;'Eingabe Immodaten'!$H$28,0,B44+1))</f>
        <v>39</v>
      </c>
      <c r="C45" s="49">
        <f t="shared" si="1"/>
        <v>2921.0443042691331</v>
      </c>
      <c r="D45" s="44">
        <f>IF(B45=0,0,D44*(1+'Eingabe Immodaten'!$C$15/100))</f>
        <v>35052.531651229598</v>
      </c>
      <c r="E45" s="44">
        <f t="shared" si="0"/>
        <v>823470.25335888215</v>
      </c>
      <c r="F45" s="44">
        <f>IF(B45=0,0,F44*(1+'Eingabe Immodaten'!$C$16/100))</f>
        <v>1944.265421809177</v>
      </c>
      <c r="G45" s="44">
        <f t="shared" si="2"/>
        <v>33108.26622942042</v>
      </c>
      <c r="H45" s="44">
        <f>IF(B45=0,0,IF(B45&lt;='Eingabe Immodaten'!$C$28,'Eingabe Immodaten'!$C$32,'Eingabe Immodaten'!$C$34))</f>
        <v>15907.759200000002</v>
      </c>
      <c r="I45" s="44">
        <f>IF(B45=0,0,IF(B45&lt;='Eingabe Immodaten'!$H$6,'Eingabe Immodaten'!$H$9,'Eingabe Immodaten'!$H$11))</f>
        <v>0</v>
      </c>
      <c r="J45" s="44">
        <f t="shared" si="3"/>
        <v>1.0435999999999999E-7</v>
      </c>
      <c r="K45" s="44">
        <f t="shared" si="15"/>
        <v>0</v>
      </c>
      <c r="L45" s="44">
        <f t="shared" si="16"/>
        <v>1.0435999999999999E-7</v>
      </c>
      <c r="M45" s="46"/>
      <c r="N45" s="46"/>
      <c r="O45" s="47">
        <f>IF(B45=0,0,IF(B45&lt;='Eingabe Immodaten'!$C$28,'Eingabe Immodaten'!$C$30,'Eingabe Immodaten'!$C$33))</f>
        <v>4.3600000000000003</v>
      </c>
      <c r="P45" s="44">
        <f t="shared" si="4"/>
        <v>4.359999999999999E-9</v>
      </c>
      <c r="Q45" s="44">
        <f t="shared" si="5"/>
        <v>9.9999999999999995E-8</v>
      </c>
      <c r="R45" s="44">
        <f>IF(B45=0,0,IF(B45&lt;='Eingabe Immodaten'!$H$6,'Eingabe Immodaten'!$H$7,'Eingabe Immodaten'!$H$10))</f>
        <v>2.5299999999999998</v>
      </c>
      <c r="S45" s="44">
        <f t="shared" si="6"/>
        <v>1.5842610396864927E-7</v>
      </c>
      <c r="T45" s="44">
        <f t="shared" si="17"/>
        <v>-1.5842610396864927E-7</v>
      </c>
      <c r="U45" s="44">
        <f t="shared" si="7"/>
        <v>9.9999999999999982E-8</v>
      </c>
      <c r="V45" s="44">
        <f t="shared" si="8"/>
        <v>6.5203274466030086E-6</v>
      </c>
      <c r="W45" s="44">
        <f t="shared" si="9"/>
        <v>6.6203274466030085E-6</v>
      </c>
      <c r="X45" s="44">
        <f>IF(B45=0,0,'Eingabe Immodaten'!$H$14)</f>
        <v>215104.92000000004</v>
      </c>
      <c r="Y45" s="93">
        <f>IF(B45=0,0,IF(Z44=0,0,('Eingabe Immodaten'!$H$15)))</f>
        <v>0</v>
      </c>
      <c r="Z45" s="93">
        <f>IF(B45=0,0,IF(Z44+1&gt;99,0,Z44+Tabelle12[[#This Row],[Spalte23]]))</f>
        <v>0</v>
      </c>
      <c r="AA45" s="44">
        <f t="shared" si="10"/>
        <v>0</v>
      </c>
      <c r="AB45" s="44"/>
      <c r="AC45" s="44"/>
      <c r="AD45" s="44"/>
      <c r="AE45" s="44">
        <f>IF(B45=0,0,IF(B45&lt;='Eingabe Immodaten'!$C$28,IF('Eingabe Immodaten'!$C$29&gt;5,'Eingabe Immodaten'!$C$29/100*'Eingabe Immodaten'!$C$23/'Eingabe Immodaten'!$C$28,0),0))</f>
        <v>0</v>
      </c>
      <c r="AF45" s="44">
        <f>(G45-P45-S45-AA45-AD45)*'Eingabe Immodaten'!$H$19</f>
        <v>12912.223829410477</v>
      </c>
      <c r="AG45" s="44">
        <f t="shared" si="12"/>
        <v>20196.042399905586</v>
      </c>
      <c r="AH45" s="44"/>
      <c r="AI45" s="44">
        <f>IF(B45='Eingabe Immodaten'!$H$28,U45,0)</f>
        <v>0</v>
      </c>
      <c r="AJ45" s="44">
        <f t="shared" si="13"/>
        <v>20196.042400009945</v>
      </c>
      <c r="AK45" s="44">
        <f t="shared" si="14"/>
        <v>20196.042399905586</v>
      </c>
      <c r="AL45" s="48">
        <f t="shared" si="19"/>
        <v>1683.0035333254655</v>
      </c>
      <c r="AM45" s="44">
        <f t="shared" si="20"/>
        <v>173188.87201456298</v>
      </c>
      <c r="AN45" s="44">
        <f>IF(B45=0,0,D45*(1+'Eingabe Immodaten'!$C$15/100))*'Eingabe Immodaten'!H22</f>
        <v>802233.27088903135</v>
      </c>
      <c r="AO45" s="44">
        <f>IF(D45=0,0,AN45-W45+Tabelle12[[#This Row],[Spalte36]])</f>
        <v>975422.14289697399</v>
      </c>
      <c r="AP45" s="44">
        <f>IF(B45='Eingabe Immodaten'!$H$28,Ergebnistabelle!D45*'Eingabe Immodaten'!$H$22,0)</f>
        <v>0</v>
      </c>
      <c r="AQ45" s="44">
        <f>IF(B45='Eingabe Immodaten'!$H$28,Ergebnistabelle!AM45,0)</f>
        <v>0</v>
      </c>
      <c r="AR45" s="44">
        <f>IF(B45='Eingabe Immodaten'!$H$28,Ergebnistabelle!AO45,0)</f>
        <v>0</v>
      </c>
      <c r="AS45" s="44">
        <f>IF(B45='Eingabe Immodaten'!$H$28,Ergebnistabelle!W45,0)</f>
        <v>0</v>
      </c>
      <c r="AT45" s="44">
        <f>IF(B45='Eingabe Immodaten'!$H$28,Ergebnistabelle!G45,0)</f>
        <v>0</v>
      </c>
      <c r="AU45" s="44">
        <f>IF(B45='Eingabe Immodaten'!$H$28,Ergebnistabelle!L45,0)</f>
        <v>0</v>
      </c>
      <c r="AV45" s="191"/>
      <c r="AW45" s="191"/>
      <c r="AX45" s="191"/>
      <c r="AY45" s="191"/>
      <c r="AZ45" s="191"/>
      <c r="BA45" s="191"/>
      <c r="BB45" s="191"/>
      <c r="BC45" s="191"/>
      <c r="BD45" s="191"/>
      <c r="BE45" s="191"/>
      <c r="BF45" s="191"/>
      <c r="BG45" s="191"/>
      <c r="BH45" s="191"/>
      <c r="BI45" s="191"/>
      <c r="BJ45" s="191"/>
      <c r="BK45" s="191"/>
      <c r="BL45" s="191"/>
      <c r="BM45" s="191"/>
    </row>
    <row r="46" spans="1:65">
      <c r="A46" s="191"/>
      <c r="B46" s="45">
        <f>IF(B45=0,0,IF(B45+1&gt;'Eingabe Immodaten'!$H$28,0,B45+1))</f>
        <v>40</v>
      </c>
      <c r="C46" s="49">
        <f t="shared" si="1"/>
        <v>3008.6756333972075</v>
      </c>
      <c r="D46" s="44">
        <f>IF(B46=0,0,D45*(1+'Eingabe Immodaten'!$C$15/100))</f>
        <v>36104.107600766489</v>
      </c>
      <c r="E46" s="44">
        <f t="shared" si="0"/>
        <v>859574.36095964862</v>
      </c>
      <c r="F46" s="44">
        <f>IF(B46=0,0,F45*(1+'Eingabe Immodaten'!$C$16/100))</f>
        <v>1963.7080760272688</v>
      </c>
      <c r="G46" s="44">
        <f t="shared" si="2"/>
        <v>34140.399524739223</v>
      </c>
      <c r="H46" s="44">
        <f>IF(B46=0,0,IF(B46&lt;='Eingabe Immodaten'!$C$28,'Eingabe Immodaten'!$C$32,'Eingabe Immodaten'!$C$34))</f>
        <v>15907.759200000002</v>
      </c>
      <c r="I46" s="44">
        <f>IF(B46=0,0,IF(B46&lt;='Eingabe Immodaten'!$H$6,'Eingabe Immodaten'!$H$9,'Eingabe Immodaten'!$H$11))</f>
        <v>0</v>
      </c>
      <c r="J46" s="44">
        <f t="shared" si="3"/>
        <v>1.0435999999999999E-7</v>
      </c>
      <c r="K46" s="44">
        <f t="shared" si="15"/>
        <v>0</v>
      </c>
      <c r="L46" s="44">
        <f t="shared" si="16"/>
        <v>1.0435999999999999E-7</v>
      </c>
      <c r="M46" s="46"/>
      <c r="N46" s="46"/>
      <c r="O46" s="47">
        <f>IF(B46=0,0,IF(B46&lt;='Eingabe Immodaten'!$C$28,'Eingabe Immodaten'!$C$30,'Eingabe Immodaten'!$C$33))</f>
        <v>4.3600000000000003</v>
      </c>
      <c r="P46" s="44">
        <f t="shared" si="4"/>
        <v>4.359999999999999E-9</v>
      </c>
      <c r="Q46" s="44">
        <f t="shared" si="5"/>
        <v>9.9999999999999995E-8</v>
      </c>
      <c r="R46" s="44">
        <f>IF(B46=0,0,IF(B46&lt;='Eingabe Immodaten'!$H$6,'Eingabe Immodaten'!$H$7,'Eingabe Immodaten'!$H$10))</f>
        <v>2.5299999999999998</v>
      </c>
      <c r="S46" s="44">
        <f t="shared" si="6"/>
        <v>1.6496428439905609E-7</v>
      </c>
      <c r="T46" s="44">
        <f t="shared" si="17"/>
        <v>-1.6496428439905609E-7</v>
      </c>
      <c r="U46" s="44">
        <f t="shared" si="7"/>
        <v>9.9999999999999982E-8</v>
      </c>
      <c r="V46" s="44">
        <f t="shared" si="8"/>
        <v>6.7852917310020649E-6</v>
      </c>
      <c r="W46" s="44">
        <f t="shared" si="9"/>
        <v>6.8852917310020648E-6</v>
      </c>
      <c r="X46" s="44">
        <f>IF(B46=0,0,'Eingabe Immodaten'!$H$14)</f>
        <v>215104.92000000004</v>
      </c>
      <c r="Y46" s="93">
        <f>IF(B46=0,0,IF(Z45=0,0,('Eingabe Immodaten'!$H$15)))</f>
        <v>0</v>
      </c>
      <c r="Z46" s="93">
        <f>IF(B46=0,0,IF(Z45+1&gt;99,0,Z45+Tabelle12[[#This Row],[Spalte23]]))</f>
        <v>0</v>
      </c>
      <c r="AA46" s="44">
        <f t="shared" si="10"/>
        <v>0</v>
      </c>
      <c r="AB46" s="44"/>
      <c r="AC46" s="44"/>
      <c r="AD46" s="44"/>
      <c r="AE46" s="44">
        <f>IF(B46=0,0,IF(B46&lt;='Eingabe Immodaten'!$C$28,IF('Eingabe Immodaten'!$C$29&gt;5,'Eingabe Immodaten'!$C$29/100*'Eingabe Immodaten'!$C$23/'Eingabe Immodaten'!$C$28,0),0))</f>
        <v>0</v>
      </c>
      <c r="AF46" s="44">
        <f>(G46-P46-S46-AA46-AD46)*'Eingabe Immodaten'!$H$19</f>
        <v>13314.75581458226</v>
      </c>
      <c r="AG46" s="44">
        <f t="shared" si="12"/>
        <v>20825.643710052602</v>
      </c>
      <c r="AH46" s="44"/>
      <c r="AI46" s="44">
        <f>IF(B46='Eingabe Immodaten'!$H$28,U46,0)</f>
        <v>0</v>
      </c>
      <c r="AJ46" s="44">
        <f t="shared" si="13"/>
        <v>20825.643710156961</v>
      </c>
      <c r="AK46" s="44">
        <f t="shared" si="14"/>
        <v>20825.643710052602</v>
      </c>
      <c r="AL46" s="48">
        <f t="shared" si="19"/>
        <v>1735.4703091710501</v>
      </c>
      <c r="AM46" s="44">
        <f t="shared" si="20"/>
        <v>194014.51572461557</v>
      </c>
      <c r="AN46" s="44">
        <f>IF(B46=0,0,D46*(1+'Eingabe Immodaten'!$C$15/100))*'Eingabe Immodaten'!H22</f>
        <v>826300.2690157023</v>
      </c>
      <c r="AO46" s="44">
        <f>IF(D46=0,0,AN46-W46+Tabelle12[[#This Row],[Spalte36]])</f>
        <v>1020314.7847334326</v>
      </c>
      <c r="AP46" s="44">
        <f>IF(B46='Eingabe Immodaten'!$H$28,Ergebnistabelle!D46*'Eingabe Immodaten'!$H$22,0)</f>
        <v>0</v>
      </c>
      <c r="AQ46" s="44">
        <f>IF(B46='Eingabe Immodaten'!$H$28,Ergebnistabelle!AM46,0)</f>
        <v>0</v>
      </c>
      <c r="AR46" s="44">
        <f>IF(B46='Eingabe Immodaten'!$H$28,Ergebnistabelle!AO46,0)</f>
        <v>0</v>
      </c>
      <c r="AS46" s="44">
        <f>IF(B46='Eingabe Immodaten'!$H$28,Ergebnistabelle!W46,0)</f>
        <v>0</v>
      </c>
      <c r="AT46" s="44">
        <f>IF(B46='Eingabe Immodaten'!$H$28,Ergebnistabelle!G46,0)</f>
        <v>0</v>
      </c>
      <c r="AU46" s="44">
        <f>IF(B46='Eingabe Immodaten'!$H$28,Ergebnistabelle!L46,0)</f>
        <v>0</v>
      </c>
      <c r="AV46" s="191"/>
      <c r="AW46" s="191"/>
      <c r="AX46" s="191"/>
      <c r="AY46" s="191"/>
      <c r="AZ46" s="191"/>
      <c r="BA46" s="191"/>
      <c r="BB46" s="191"/>
      <c r="BC46" s="191"/>
      <c r="BD46" s="191"/>
      <c r="BE46" s="191"/>
      <c r="BF46" s="191"/>
      <c r="BG46" s="191"/>
      <c r="BH46" s="191"/>
      <c r="BI46" s="191"/>
      <c r="BJ46" s="191"/>
      <c r="BK46" s="191"/>
      <c r="BL46" s="191"/>
      <c r="BM46" s="191"/>
    </row>
    <row r="47" spans="1:65">
      <c r="A47" s="191"/>
      <c r="B47" s="45">
        <f>IF(B46=0,0,IF(B46+1&gt;'Eingabe Immodaten'!$H$28,0,B46+1))</f>
        <v>41</v>
      </c>
      <c r="C47" s="49">
        <f>D47/12</f>
        <v>3098.9359023991237</v>
      </c>
      <c r="D47" s="44">
        <f>IF(B47=0,0,D46*(1+'Eingabe Immodaten'!$C$15/100))</f>
        <v>37187.230828789485</v>
      </c>
      <c r="E47" s="44">
        <f t="shared" si="0"/>
        <v>896761.59178843815</v>
      </c>
      <c r="F47" s="44">
        <f>IF(B47=0,0,F46*(1+'Eingabe Immodaten'!$C$16/100))</f>
        <v>1983.3451567875416</v>
      </c>
      <c r="G47" s="44">
        <f>D47-F47</f>
        <v>35203.885672001947</v>
      </c>
      <c r="H47" s="44">
        <f>IF(B47=0,0,IF(B47&lt;='Eingabe Immodaten'!$C$28,'Eingabe Immodaten'!$C$32,'Eingabe Immodaten'!$C$34))</f>
        <v>15907.759200000002</v>
      </c>
      <c r="I47" s="44">
        <f>IF(B47=0,0,IF(B47&lt;='Eingabe Immodaten'!$H$6,'Eingabe Immodaten'!$H$9,'Eingabe Immodaten'!$H$11))</f>
        <v>0</v>
      </c>
      <c r="J47" s="44">
        <f t="shared" si="3"/>
        <v>1.0435999999999999E-7</v>
      </c>
      <c r="K47" s="44">
        <f t="shared" si="15"/>
        <v>0</v>
      </c>
      <c r="L47" s="44">
        <f t="shared" si="16"/>
        <v>1.0435999999999999E-7</v>
      </c>
      <c r="M47" s="80"/>
      <c r="N47" s="80"/>
      <c r="O47" s="47">
        <f>IF(B47=0,0,IF(B47&lt;='Eingabe Immodaten'!$C$28,'Eingabe Immodaten'!$C$30,'Eingabe Immodaten'!$C$33))</f>
        <v>4.3600000000000003</v>
      </c>
      <c r="P47" s="44">
        <f t="shared" si="4"/>
        <v>4.359999999999999E-9</v>
      </c>
      <c r="Q47" s="44">
        <f t="shared" si="5"/>
        <v>9.9999999999999995E-8</v>
      </c>
      <c r="R47" s="44">
        <f>IF(B47=0,0,IF(B47&lt;='Eingabe Immodaten'!$H$6,'Eingabe Immodaten'!$H$7,'Eingabe Immodaten'!$H$10))</f>
        <v>2.5299999999999998</v>
      </c>
      <c r="S47" s="44">
        <f t="shared" si="6"/>
        <v>1.7166788079435225E-7</v>
      </c>
      <c r="T47" s="44">
        <f t="shared" si="17"/>
        <v>-1.7166788079435225E-7</v>
      </c>
      <c r="U47" s="44">
        <f t="shared" si="7"/>
        <v>9.9999999999999982E-8</v>
      </c>
      <c r="V47" s="44">
        <f t="shared" si="8"/>
        <v>7.0569596117964173E-6</v>
      </c>
      <c r="W47" s="44">
        <f>IF(B47=0,0,U47+V47)</f>
        <v>7.1569596117964172E-6</v>
      </c>
      <c r="X47" s="44">
        <f>IF(B47=0,0,'Eingabe Immodaten'!$H$14)</f>
        <v>215104.92000000004</v>
      </c>
      <c r="Y47" s="93">
        <f>IF(B47=0,0,IF(Z46=0,0,('Eingabe Immodaten'!$H$15)))</f>
        <v>0</v>
      </c>
      <c r="Z47" s="93">
        <f>IF(B47=0,0,IF(Z46+1&gt;99,0,Z46+Tabelle12[[#This Row],[Spalte23]]))</f>
        <v>0</v>
      </c>
      <c r="AA47" s="44">
        <f t="shared" ref="AA47:AA52" si="21">X47*Y47/100</f>
        <v>0</v>
      </c>
      <c r="AB47" s="44"/>
      <c r="AC47" s="44"/>
      <c r="AD47" s="44"/>
      <c r="AE47" s="44">
        <f>IF(B47=0,0,IF(B47&lt;='Eingabe Immodaten'!$C$28,IF('Eingabe Immodaten'!$C$29&gt;5,'Eingabe Immodaten'!$C$29/100*'Eingabe Immodaten'!$C$23/'Eingabe Immodaten'!$C$28,0),0))</f>
        <v>0</v>
      </c>
      <c r="AF47" s="44">
        <f>(G47-P47-S47-AA47-AD47)*'Eingabe Immodaten'!$H$19</f>
        <v>13729.51541201211</v>
      </c>
      <c r="AG47" s="44">
        <f>IF(B47=0,0,G47-AF47-L47+AH47-AI47)</f>
        <v>21474.37025988548</v>
      </c>
      <c r="AH47" s="44"/>
      <c r="AI47" s="44">
        <f>IF(B47='Eingabe Immodaten'!$H$28,U47,0)</f>
        <v>0</v>
      </c>
      <c r="AJ47" s="44">
        <f>G47-AF47+AH47</f>
        <v>21474.370259989839</v>
      </c>
      <c r="AK47" s="44">
        <f>IF(B47=0,0,AG47+AH47-AI47)</f>
        <v>21474.37025988548</v>
      </c>
      <c r="AL47" s="48">
        <f>AG47/12</f>
        <v>1789.5308549904566</v>
      </c>
      <c r="AM47" s="44">
        <f t="shared" si="20"/>
        <v>215488.88598450104</v>
      </c>
      <c r="AN47" s="44">
        <f>IF(B47=0,0,D47*(1+'Eingabe Immodaten'!$C$15/100))*'Eingabe Immodaten'!H22</f>
        <v>851089.27708617342</v>
      </c>
      <c r="AO47" s="44">
        <f>IF(D47=0,0,AN47-W47+Tabelle12[[#This Row],[Spalte36]])</f>
        <v>1066578.1630635175</v>
      </c>
      <c r="AP47" s="44">
        <f>IF(B47='Eingabe Immodaten'!$H$28,Ergebnistabelle!D47*'Eingabe Immodaten'!$H$22,0)</f>
        <v>0</v>
      </c>
      <c r="AQ47" s="44">
        <f>IF(B47='Eingabe Immodaten'!$H$28,Ergebnistabelle!AM47,0)</f>
        <v>0</v>
      </c>
      <c r="AR47" s="44">
        <f>IF(B47='Eingabe Immodaten'!$H$28,Ergebnistabelle!AO47,0)</f>
        <v>0</v>
      </c>
      <c r="AS47" s="44">
        <f>IF(B47='Eingabe Immodaten'!$H$28,Ergebnistabelle!W47,0)</f>
        <v>0</v>
      </c>
      <c r="AT47" s="44">
        <f>IF(B47='Eingabe Immodaten'!$H$28,Ergebnistabelle!G47,0)</f>
        <v>0</v>
      </c>
      <c r="AU47" s="44">
        <f>IF(B47='Eingabe Immodaten'!$H$28,Ergebnistabelle!L47,0)</f>
        <v>0</v>
      </c>
      <c r="AV47" s="191"/>
      <c r="AW47" s="191"/>
      <c r="AX47" s="191"/>
      <c r="AY47" s="191"/>
      <c r="AZ47" s="191"/>
      <c r="BA47" s="191"/>
      <c r="BB47" s="191"/>
      <c r="BC47" s="191"/>
      <c r="BD47" s="191"/>
      <c r="BE47" s="191"/>
      <c r="BF47" s="191"/>
      <c r="BG47" s="191"/>
      <c r="BH47" s="191"/>
      <c r="BI47" s="191"/>
      <c r="BJ47" s="191"/>
      <c r="BK47" s="191"/>
      <c r="BL47" s="191"/>
      <c r="BM47" s="191"/>
    </row>
    <row r="48" spans="1:65">
      <c r="A48" s="191"/>
      <c r="B48" s="45">
        <f>IF(B47=0,0,IF(B47+1&gt;'Eingabe Immodaten'!$H$28,0,B47+1))</f>
        <v>42</v>
      </c>
      <c r="C48" s="49">
        <f>D48/12</f>
        <v>3191.9039794710975</v>
      </c>
      <c r="D48" s="44">
        <f>IF(B48=0,0,D47*(1+'Eingabe Immodaten'!$C$15/100))</f>
        <v>38302.847753653172</v>
      </c>
      <c r="E48" s="44">
        <f t="shared" si="0"/>
        <v>935064.43954209134</v>
      </c>
      <c r="F48" s="44">
        <f>IF(B48=0,0,F47*(1+'Eingabe Immodaten'!$C$16/100))</f>
        <v>2003.1786083554171</v>
      </c>
      <c r="G48" s="44">
        <f>D48-F48</f>
        <v>36299.669145297754</v>
      </c>
      <c r="H48" s="44">
        <f>IF(B48=0,0,IF(B48&lt;='Eingabe Immodaten'!$C$28,'Eingabe Immodaten'!$C$32,'Eingabe Immodaten'!$C$34))</f>
        <v>15907.759200000002</v>
      </c>
      <c r="I48" s="44">
        <f>IF(B48=0,0,IF(B48&lt;='Eingabe Immodaten'!$H$6,'Eingabe Immodaten'!$H$9,'Eingabe Immodaten'!$H$11))</f>
        <v>0</v>
      </c>
      <c r="J48" s="44">
        <f t="shared" si="3"/>
        <v>1.0435999999999999E-7</v>
      </c>
      <c r="K48" s="44">
        <f t="shared" si="15"/>
        <v>0</v>
      </c>
      <c r="L48" s="44">
        <f t="shared" si="16"/>
        <v>1.0435999999999999E-7</v>
      </c>
      <c r="M48" s="80"/>
      <c r="N48" s="80"/>
      <c r="O48" s="47">
        <f>IF(B48=0,0,IF(B48&lt;='Eingabe Immodaten'!$C$28,'Eingabe Immodaten'!$C$30,'Eingabe Immodaten'!$C$33))</f>
        <v>4.3600000000000003</v>
      </c>
      <c r="P48" s="44">
        <f t="shared" si="4"/>
        <v>4.359999999999999E-9</v>
      </c>
      <c r="Q48" s="44">
        <f t="shared" si="5"/>
        <v>9.9999999999999995E-8</v>
      </c>
      <c r="R48" s="44">
        <f>IF(B48=0,0,IF(B48&lt;='Eingabe Immodaten'!$H$6,'Eingabe Immodaten'!$H$7,'Eingabe Immodaten'!$H$10))</f>
        <v>2.5299999999999998</v>
      </c>
      <c r="S48" s="44">
        <f t="shared" si="6"/>
        <v>1.7854107817844936E-7</v>
      </c>
      <c r="T48" s="44">
        <f t="shared" si="17"/>
        <v>-1.7854107817844936E-7</v>
      </c>
      <c r="U48" s="44">
        <f t="shared" si="7"/>
        <v>9.9999999999999982E-8</v>
      </c>
      <c r="V48" s="44">
        <f t="shared" si="8"/>
        <v>7.3355006899748669E-6</v>
      </c>
      <c r="W48" s="44">
        <f>IF(B48=0,0,U48+V48)</f>
        <v>7.4355006899748668E-6</v>
      </c>
      <c r="X48" s="44">
        <f>IF(B48=0,0,'Eingabe Immodaten'!$H$14)</f>
        <v>215104.92000000004</v>
      </c>
      <c r="Y48" s="93">
        <f>IF(B48=0,0,IF(Z47=0,0,('Eingabe Immodaten'!$H$15)))</f>
        <v>0</v>
      </c>
      <c r="Z48" s="93">
        <f>IF(B48=0,0,IF(Z47+1&gt;99,0,Z47+Tabelle12[[#This Row],[Spalte23]]))</f>
        <v>0</v>
      </c>
      <c r="AA48" s="44">
        <f t="shared" si="21"/>
        <v>0</v>
      </c>
      <c r="AB48" s="44"/>
      <c r="AC48" s="44"/>
      <c r="AD48" s="44"/>
      <c r="AE48" s="44">
        <f>IF(B48=0,0,IF(B48&lt;='Eingabe Immodaten'!$C$28,IF('Eingabe Immodaten'!$C$29&gt;5,'Eingabe Immodaten'!$C$29/100*'Eingabe Immodaten'!$C$23/'Eingabe Immodaten'!$C$28,0),0))</f>
        <v>0</v>
      </c>
      <c r="AF48" s="44">
        <f>(G48-P48-S48-AA48-AD48)*'Eingabe Immodaten'!$H$19</f>
        <v>14156.870966594795</v>
      </c>
      <c r="AG48" s="44">
        <f>IF(B48=0,0,G48-AF48-L48+AH48-AI48)</f>
        <v>22142.798178598598</v>
      </c>
      <c r="AH48" s="44"/>
      <c r="AI48" s="44">
        <f>IF(B48='Eingabe Immodaten'!$H$28,U48,0)</f>
        <v>0</v>
      </c>
      <c r="AJ48" s="44">
        <f>G48-AF48+AH48</f>
        <v>22142.798178702957</v>
      </c>
      <c r="AK48" s="44">
        <f>IF(B48=0,0,AG48+AH48-AI48)</f>
        <v>22142.798178598598</v>
      </c>
      <c r="AL48" s="48">
        <f>AG48/12</f>
        <v>1845.2331815498831</v>
      </c>
      <c r="AM48" s="44">
        <f t="shared" si="20"/>
        <v>237631.68416309965</v>
      </c>
      <c r="AN48" s="44">
        <f>IF(B48=0,0,D48*(1+'Eingabe Immodaten'!$C$15/100))*'Eingabe Immodaten'!H22</f>
        <v>876621.95539875864</v>
      </c>
      <c r="AO48" s="44">
        <f>IF(D48=0,0,AN48-W48+Tabelle12[[#This Row],[Spalte36]])</f>
        <v>1114253.6395544228</v>
      </c>
      <c r="AP48" s="44">
        <f>IF(B48='Eingabe Immodaten'!$H$28,Ergebnistabelle!D48*'Eingabe Immodaten'!$H$22,0)</f>
        <v>0</v>
      </c>
      <c r="AQ48" s="44">
        <f>IF(B48='Eingabe Immodaten'!$H$28,Ergebnistabelle!AM48,0)</f>
        <v>0</v>
      </c>
      <c r="AR48" s="44">
        <f>IF(B48='Eingabe Immodaten'!$H$28,Ergebnistabelle!AO48,0)</f>
        <v>0</v>
      </c>
      <c r="AS48" s="44">
        <f>IF(B48='Eingabe Immodaten'!$H$28,Ergebnistabelle!W48,0)</f>
        <v>0</v>
      </c>
      <c r="AT48" s="44">
        <f>IF(B48='Eingabe Immodaten'!$H$28,Ergebnistabelle!G48,0)</f>
        <v>0</v>
      </c>
      <c r="AU48" s="44">
        <f>IF(B48='Eingabe Immodaten'!$H$28,Ergebnistabelle!L48,0)</f>
        <v>0</v>
      </c>
      <c r="AV48" s="191"/>
      <c r="AW48" s="191"/>
      <c r="AX48" s="191"/>
      <c r="AY48" s="191"/>
      <c r="AZ48" s="191"/>
      <c r="BA48" s="191"/>
      <c r="BB48" s="191"/>
      <c r="BC48" s="191"/>
      <c r="BD48" s="191"/>
      <c r="BE48" s="191"/>
      <c r="BF48" s="191"/>
      <c r="BG48" s="191"/>
      <c r="BH48" s="191"/>
      <c r="BI48" s="191"/>
      <c r="BJ48" s="191"/>
      <c r="BK48" s="191"/>
      <c r="BL48" s="191"/>
      <c r="BM48" s="191"/>
    </row>
    <row r="49" spans="1:65">
      <c r="A49" s="191"/>
      <c r="B49" s="45">
        <f>IF(B48=0,0,IF(B48+1&gt;'Eingabe Immodaten'!$H$28,0,B48+1))</f>
        <v>43</v>
      </c>
      <c r="C49" s="49">
        <f>D49/12</f>
        <v>3287.6610988552306</v>
      </c>
      <c r="D49" s="44">
        <f>IF(B49=0,0,D48*(1+'Eingabe Immodaten'!$C$15/100))</f>
        <v>39451.933186262766</v>
      </c>
      <c r="E49" s="44">
        <f t="shared" si="0"/>
        <v>974516.37272835406</v>
      </c>
      <c r="F49" s="44">
        <f>IF(B49=0,0,F48*(1+'Eingabe Immodaten'!$C$16/100))</f>
        <v>2023.2103944389712</v>
      </c>
      <c r="G49" s="44">
        <f>D49-F49</f>
        <v>37428.722791823791</v>
      </c>
      <c r="H49" s="44">
        <f>IF(B49=0,0,IF(B49&lt;='Eingabe Immodaten'!$C$28,'Eingabe Immodaten'!$C$32,'Eingabe Immodaten'!$C$34))</f>
        <v>15907.759200000002</v>
      </c>
      <c r="I49" s="44">
        <f>IF(B49=0,0,IF(B49&lt;='Eingabe Immodaten'!$H$6,'Eingabe Immodaten'!$H$9,'Eingabe Immodaten'!$H$11))</f>
        <v>0</v>
      </c>
      <c r="J49" s="44">
        <f t="shared" si="3"/>
        <v>1.0435999999999999E-7</v>
      </c>
      <c r="K49" s="44">
        <f t="shared" si="15"/>
        <v>0</v>
      </c>
      <c r="L49" s="44">
        <f t="shared" si="16"/>
        <v>1.0435999999999999E-7</v>
      </c>
      <c r="M49" s="80"/>
      <c r="N49" s="80"/>
      <c r="O49" s="47">
        <f>IF(B49=0,0,IF(B49&lt;='Eingabe Immodaten'!$C$28,'Eingabe Immodaten'!$C$30,'Eingabe Immodaten'!$C$33))</f>
        <v>4.3600000000000003</v>
      </c>
      <c r="P49" s="44">
        <f t="shared" si="4"/>
        <v>4.359999999999999E-9</v>
      </c>
      <c r="Q49" s="44">
        <f t="shared" si="5"/>
        <v>9.9999999999999995E-8</v>
      </c>
      <c r="R49" s="44">
        <f>IF(B49=0,0,IF(B49&lt;='Eingabe Immodaten'!$H$6,'Eingabe Immodaten'!$H$7,'Eingabe Immodaten'!$H$10))</f>
        <v>2.5299999999999998</v>
      </c>
      <c r="S49" s="44">
        <f t="shared" si="6"/>
        <v>1.8558816745636412E-7</v>
      </c>
      <c r="T49" s="44">
        <f t="shared" si="17"/>
        <v>-1.8558816745636412E-7</v>
      </c>
      <c r="U49" s="44">
        <f t="shared" si="7"/>
        <v>9.9999999999999982E-8</v>
      </c>
      <c r="V49" s="44">
        <f t="shared" si="8"/>
        <v>7.6210888574312307E-6</v>
      </c>
      <c r="W49" s="44">
        <f>IF(B49=0,0,U49+V49)</f>
        <v>7.7210888574312306E-6</v>
      </c>
      <c r="X49" s="44">
        <f>IF(B49=0,0,'Eingabe Immodaten'!$H$14)</f>
        <v>215104.92000000004</v>
      </c>
      <c r="Y49" s="93">
        <f>IF(B49=0,0,IF(Z48=0,0,('Eingabe Immodaten'!$H$15)))</f>
        <v>0</v>
      </c>
      <c r="Z49" s="93">
        <f>IF(B49=0,0,IF(Z48+1&gt;99,0,Z48+Tabelle12[[#This Row],[Spalte23]]))</f>
        <v>0</v>
      </c>
      <c r="AA49" s="44">
        <f t="shared" si="21"/>
        <v>0</v>
      </c>
      <c r="AB49" s="44"/>
      <c r="AC49" s="44"/>
      <c r="AD49" s="44"/>
      <c r="AE49" s="44">
        <f>IF(B49=0,0,IF(B49&lt;='Eingabe Immodaten'!$C$28,IF('Eingabe Immodaten'!$C$29&gt;5,'Eingabe Immodaten'!$C$29/100*'Eingabe Immodaten'!$C$23/'Eingabe Immodaten'!$C$28,0),0))</f>
        <v>0</v>
      </c>
      <c r="AF49" s="44">
        <f>(G49-P49-S49-AA49-AD49)*'Eingabe Immodaten'!$H$19</f>
        <v>14597.2018887372</v>
      </c>
      <c r="AG49" s="44">
        <f>IF(B49=0,0,G49-AF49-L49+AH49-AI49)</f>
        <v>22831.520902982233</v>
      </c>
      <c r="AH49" s="44"/>
      <c r="AI49" s="44">
        <f>IF(B49='Eingabe Immodaten'!$H$28,U49,0)</f>
        <v>0</v>
      </c>
      <c r="AJ49" s="44">
        <f>G49-AF49+AH49</f>
        <v>22831.520903086592</v>
      </c>
      <c r="AK49" s="44">
        <f>IF(B49=0,0,AG49+AH49-AI49)</f>
        <v>22831.520902982233</v>
      </c>
      <c r="AL49" s="48">
        <f>AG49/12</f>
        <v>1902.6267419151861</v>
      </c>
      <c r="AM49" s="44">
        <f t="shared" si="20"/>
        <v>260463.20506608189</v>
      </c>
      <c r="AN49" s="44">
        <f>IF(B49=0,0,D49*(1+'Eingabe Immodaten'!$C$15/100))*'Eingabe Immodaten'!H22</f>
        <v>902920.61406072148</v>
      </c>
      <c r="AO49" s="44">
        <f>IF(D49=0,0,AN49-W49+Tabelle12[[#This Row],[Spalte36]])</f>
        <v>1163383.8191190823</v>
      </c>
      <c r="AP49" s="44">
        <f>IF(B49='Eingabe Immodaten'!$H$28,Ergebnistabelle!D49*'Eingabe Immodaten'!$H$22,0)</f>
        <v>0</v>
      </c>
      <c r="AQ49" s="44">
        <f>IF(B49='Eingabe Immodaten'!$H$28,Ergebnistabelle!AM49,0)</f>
        <v>0</v>
      </c>
      <c r="AR49" s="44">
        <f>IF(B49='Eingabe Immodaten'!$H$28,Ergebnistabelle!AO49,0)</f>
        <v>0</v>
      </c>
      <c r="AS49" s="44">
        <f>IF(B49='Eingabe Immodaten'!$H$28,Ergebnistabelle!W49,0)</f>
        <v>0</v>
      </c>
      <c r="AT49" s="44">
        <f>IF(B49='Eingabe Immodaten'!$H$28,Ergebnistabelle!G49,0)</f>
        <v>0</v>
      </c>
      <c r="AU49" s="44">
        <f>IF(B49='Eingabe Immodaten'!$H$28,Ergebnistabelle!L49,0)</f>
        <v>0</v>
      </c>
      <c r="AV49" s="191"/>
      <c r="AW49" s="191"/>
      <c r="AX49" s="191"/>
      <c r="AY49" s="191"/>
      <c r="AZ49" s="191"/>
      <c r="BA49" s="191"/>
      <c r="BB49" s="191"/>
      <c r="BC49" s="191"/>
      <c r="BD49" s="191"/>
      <c r="BE49" s="191"/>
      <c r="BF49" s="191"/>
      <c r="BG49" s="191"/>
      <c r="BH49" s="191"/>
      <c r="BI49" s="191"/>
      <c r="BJ49" s="191"/>
      <c r="BK49" s="191"/>
      <c r="BL49" s="191"/>
      <c r="BM49" s="191"/>
    </row>
    <row r="50" spans="1:65">
      <c r="A50" s="191"/>
      <c r="B50" s="45">
        <f>IF(B49=0,0,IF(B49+1&gt;'Eingabe Immodaten'!$H$28,0,B49+1))</f>
        <v>44</v>
      </c>
      <c r="C50" s="49">
        <f>D50/12</f>
        <v>3386.2909318208876</v>
      </c>
      <c r="D50" s="44">
        <f>IF(B50=0,0,D49*(1+'Eingabe Immodaten'!$C$15/100))</f>
        <v>40635.491181850652</v>
      </c>
      <c r="E50" s="44">
        <f t="shared" si="0"/>
        <v>1015151.8639102047</v>
      </c>
      <c r="F50" s="44">
        <f>IF(B50=0,0,F49*(1+'Eingabe Immodaten'!$C$16/100))</f>
        <v>2043.442498383361</v>
      </c>
      <c r="G50" s="44">
        <f>D50-F50</f>
        <v>38592.048683467292</v>
      </c>
      <c r="H50" s="44">
        <f>IF(B50=0,0,IF(B50&lt;='Eingabe Immodaten'!$C$28,'Eingabe Immodaten'!$C$32,'Eingabe Immodaten'!$C$34))</f>
        <v>15907.759200000002</v>
      </c>
      <c r="I50" s="44">
        <f>IF(B50=0,0,IF(B50&lt;='Eingabe Immodaten'!$H$6,'Eingabe Immodaten'!$H$9,'Eingabe Immodaten'!$H$11))</f>
        <v>0</v>
      </c>
      <c r="J50" s="44">
        <f t="shared" si="3"/>
        <v>1.0435999999999999E-7</v>
      </c>
      <c r="K50" s="44">
        <f t="shared" si="15"/>
        <v>0</v>
      </c>
      <c r="L50" s="44">
        <f t="shared" si="16"/>
        <v>1.0435999999999999E-7</v>
      </c>
      <c r="M50" s="80"/>
      <c r="N50" s="80"/>
      <c r="O50" s="47">
        <f>IF(B50=0,0,IF(B50&lt;='Eingabe Immodaten'!$C$28,'Eingabe Immodaten'!$C$30,'Eingabe Immodaten'!$C$33))</f>
        <v>4.3600000000000003</v>
      </c>
      <c r="P50" s="44">
        <f t="shared" si="4"/>
        <v>4.359999999999999E-9</v>
      </c>
      <c r="Q50" s="44">
        <f t="shared" si="5"/>
        <v>9.9999999999999995E-8</v>
      </c>
      <c r="R50" s="44">
        <f>IF(B50=0,0,IF(B50&lt;='Eingabe Immodaten'!$H$6,'Eingabe Immodaten'!$H$7,'Eingabe Immodaten'!$H$10))</f>
        <v>2.5299999999999998</v>
      </c>
      <c r="S50" s="44">
        <f t="shared" si="6"/>
        <v>1.9281354809301014E-7</v>
      </c>
      <c r="T50" s="44">
        <f t="shared" si="17"/>
        <v>-1.9281354809301014E-7</v>
      </c>
      <c r="U50" s="44">
        <f t="shared" si="7"/>
        <v>9.9999999999999982E-8</v>
      </c>
      <c r="V50" s="44">
        <f t="shared" si="8"/>
        <v>7.9139024055242413E-6</v>
      </c>
      <c r="W50" s="44">
        <f>IF(B50=0,0,U50+V50)</f>
        <v>8.013902405524242E-6</v>
      </c>
      <c r="X50" s="44">
        <f>IF(B50=0,0,'Eingabe Immodaten'!$H$14)</f>
        <v>215104.92000000004</v>
      </c>
      <c r="Y50" s="93">
        <f>IF(B50=0,0,IF(Z49=0,0,('Eingabe Immodaten'!$H$15)))</f>
        <v>0</v>
      </c>
      <c r="Z50" s="93">
        <f>IF(B50=0,0,IF(Z49+1&gt;99,0,Z49+Tabelle12[[#This Row],[Spalte23]]))</f>
        <v>0</v>
      </c>
      <c r="AA50" s="44">
        <f t="shared" si="21"/>
        <v>0</v>
      </c>
      <c r="AB50" s="44"/>
      <c r="AC50" s="44"/>
      <c r="AD50" s="44"/>
      <c r="AE50" s="44">
        <f>IF(B50=0,0,IF(B50&lt;='Eingabe Immodaten'!$C$28,IF('Eingabe Immodaten'!$C$29&gt;5,'Eingabe Immodaten'!$C$29/100*'Eingabe Immodaten'!$C$23/'Eingabe Immodaten'!$C$28,0),0))</f>
        <v>0</v>
      </c>
      <c r="AF50" s="44">
        <f>(G50-P50-S50-AA50-AD50)*'Eingabe Immodaten'!$H$19</f>
        <v>15050.898986475348</v>
      </c>
      <c r="AG50" s="44">
        <f>IF(B50=0,0,G50-AF50-L50+AH50-AI50)</f>
        <v>23541.149696887587</v>
      </c>
      <c r="AH50" s="44"/>
      <c r="AI50" s="44">
        <f>IF(B50='Eingabe Immodaten'!$H$28,U50,0)</f>
        <v>0</v>
      </c>
      <c r="AJ50" s="44">
        <f>G50-AF50+AH50</f>
        <v>23541.149696991946</v>
      </c>
      <c r="AK50" s="44">
        <f>IF(B50=0,0,AG50+AH50-AI50)</f>
        <v>23541.149696887587</v>
      </c>
      <c r="AL50" s="48">
        <f>AG50/12</f>
        <v>1961.7624747406323</v>
      </c>
      <c r="AM50" s="44">
        <f t="shared" si="20"/>
        <v>284004.35476296948</v>
      </c>
      <c r="AN50" s="44">
        <f>IF(B50=0,0,D50*(1+'Eingabe Immodaten'!$C$15/100))*'Eingabe Immodaten'!H22</f>
        <v>930008.2324825431</v>
      </c>
      <c r="AO50" s="44">
        <f>IF(D50=0,0,AN50-W50+Tabelle12[[#This Row],[Spalte36]])</f>
        <v>1214012.5872374987</v>
      </c>
      <c r="AP50" s="44">
        <f>IF(B50='Eingabe Immodaten'!$H$28,Ergebnistabelle!D50*'Eingabe Immodaten'!$H$22,0)</f>
        <v>0</v>
      </c>
      <c r="AQ50" s="44">
        <f>IF(B50='Eingabe Immodaten'!$H$28,Ergebnistabelle!AM50,0)</f>
        <v>0</v>
      </c>
      <c r="AR50" s="44">
        <f>IF(B50='Eingabe Immodaten'!$H$28,Ergebnistabelle!AO50,0)</f>
        <v>0</v>
      </c>
      <c r="AS50" s="44">
        <f>IF(B50='Eingabe Immodaten'!$H$28,Ergebnistabelle!W50,0)</f>
        <v>0</v>
      </c>
      <c r="AT50" s="44">
        <f>IF(B50='Eingabe Immodaten'!$H$28,Ergebnistabelle!G50,0)</f>
        <v>0</v>
      </c>
      <c r="AU50" s="44">
        <f>IF(B50='Eingabe Immodaten'!$H$28,Ergebnistabelle!L50,0)</f>
        <v>0</v>
      </c>
      <c r="AV50" s="191"/>
      <c r="AW50" s="191"/>
      <c r="AX50" s="191"/>
      <c r="AY50" s="191"/>
      <c r="AZ50" s="191"/>
      <c r="BA50" s="191"/>
      <c r="BB50" s="191"/>
      <c r="BC50" s="191"/>
      <c r="BD50" s="191"/>
      <c r="BE50" s="191"/>
      <c r="BF50" s="191"/>
      <c r="BG50" s="191"/>
      <c r="BH50" s="191"/>
      <c r="BI50" s="191"/>
      <c r="BJ50" s="191"/>
      <c r="BK50" s="191"/>
      <c r="BL50" s="191"/>
      <c r="BM50" s="191"/>
    </row>
    <row r="51" spans="1:65">
      <c r="A51" s="191"/>
      <c r="B51" s="45">
        <f>IF(B50=0,0,IF(B50+1&gt;'Eingabe Immodaten'!$H$28,0,B50+1))</f>
        <v>45</v>
      </c>
      <c r="C51" s="49">
        <f t="shared" ref="C51:C56" si="22">D51/12</f>
        <v>3487.879659775514</v>
      </c>
      <c r="D51" s="44">
        <f>IF(B51=0,0,D50*(1+'Eingabe Immodaten'!$C$15/100))</f>
        <v>41854.55591730617</v>
      </c>
      <c r="E51" s="44">
        <f t="shared" si="0"/>
        <v>1057006.4198275108</v>
      </c>
      <c r="F51" s="44">
        <f>IF(B51=0,0,F50*(1+'Eingabe Immodaten'!$C$16/100))</f>
        <v>2063.8769233671946</v>
      </c>
      <c r="G51" s="44">
        <f t="shared" ref="G51:G56" si="23">D51-F51</f>
        <v>39790.678993938978</v>
      </c>
      <c r="H51" s="44">
        <f>IF(B51=0,0,IF(B51&lt;='Eingabe Immodaten'!$C$28,'Eingabe Immodaten'!$C$32,'Eingabe Immodaten'!$C$34))</f>
        <v>15907.759200000002</v>
      </c>
      <c r="I51" s="44">
        <f>IF(B51=0,0,IF(B51&lt;='Eingabe Immodaten'!$H$6,'Eingabe Immodaten'!$H$9,'Eingabe Immodaten'!$H$11))</f>
        <v>0</v>
      </c>
      <c r="J51" s="44">
        <f t="shared" si="3"/>
        <v>1.0435999999999999E-7</v>
      </c>
      <c r="K51" s="44">
        <f t="shared" si="15"/>
        <v>0</v>
      </c>
      <c r="L51" s="44">
        <f t="shared" si="16"/>
        <v>1.0435999999999999E-7</v>
      </c>
      <c r="M51" s="80"/>
      <c r="N51" s="80"/>
      <c r="O51" s="47">
        <f>IF(B51=0,0,IF(B51&lt;='Eingabe Immodaten'!$C$28,'Eingabe Immodaten'!$C$30,'Eingabe Immodaten'!$C$33))</f>
        <v>4.3600000000000003</v>
      </c>
      <c r="P51" s="44">
        <f t="shared" si="4"/>
        <v>4.359999999999999E-9</v>
      </c>
      <c r="Q51" s="44">
        <f t="shared" si="5"/>
        <v>9.9999999999999995E-8</v>
      </c>
      <c r="R51" s="44">
        <f>IF(B51=0,0,IF(B51&lt;='Eingabe Immodaten'!$H$6,'Eingabe Immodaten'!$H$7,'Eingabe Immodaten'!$H$10))</f>
        <v>2.5299999999999998</v>
      </c>
      <c r="S51" s="44">
        <f t="shared" si="6"/>
        <v>2.002217308597633E-7</v>
      </c>
      <c r="T51" s="44">
        <f t="shared" si="17"/>
        <v>-2.002217308597633E-7</v>
      </c>
      <c r="U51" s="44">
        <f t="shared" si="7"/>
        <v>9.9999999999999982E-8</v>
      </c>
      <c r="V51" s="44">
        <f t="shared" si="8"/>
        <v>8.2141241363840059E-6</v>
      </c>
      <c r="W51" s="44">
        <f t="shared" ref="W51:W56" si="24">IF(B51=0,0,U51+V51)</f>
        <v>8.3141241363840067E-6</v>
      </c>
      <c r="X51" s="44">
        <f>IF(B51=0,0,'Eingabe Immodaten'!$H$14)</f>
        <v>215104.92000000004</v>
      </c>
      <c r="Y51" s="93">
        <f>IF(B51=0,0,IF(Z50=0,0,('Eingabe Immodaten'!$H$15)))</f>
        <v>0</v>
      </c>
      <c r="Z51" s="93">
        <f>IF(B51=0,0,IF(Z50+1&gt;99,0,Z50+Tabelle12[[#This Row],[Spalte23]]))</f>
        <v>0</v>
      </c>
      <c r="AA51" s="44">
        <f t="shared" si="21"/>
        <v>0</v>
      </c>
      <c r="AB51" s="44"/>
      <c r="AC51" s="44"/>
      <c r="AD51" s="44"/>
      <c r="AE51" s="44">
        <f>IF(B51=0,0,IF(B51&lt;='Eingabe Immodaten'!$C$28,IF('Eingabe Immodaten'!$C$29&gt;5,'Eingabe Immodaten'!$C$29/100*'Eingabe Immodaten'!$C$23/'Eingabe Immodaten'!$C$28,0),0))</f>
        <v>0</v>
      </c>
      <c r="AF51" s="44">
        <f>(G51-P51-S51-AA51-AD51)*'Eingabe Immodaten'!$H$19</f>
        <v>15518.364807556416</v>
      </c>
      <c r="AG51" s="44">
        <f t="shared" ref="AG51:AG56" si="25">IF(B51=0,0,G51-AF51-L51+AH51-AI51)</f>
        <v>24272.314186278203</v>
      </c>
      <c r="AH51" s="44"/>
      <c r="AI51" s="44">
        <f>IF(B51='Eingabe Immodaten'!$H$28,U51,0)</f>
        <v>0</v>
      </c>
      <c r="AJ51" s="44">
        <f t="shared" ref="AJ51:AJ56" si="26">G51-AF51+AH51</f>
        <v>24272.314186382562</v>
      </c>
      <c r="AK51" s="44">
        <f t="shared" ref="AK51:AK56" si="27">IF(B51=0,0,AG51+AH51-AI51)</f>
        <v>24272.314186278203</v>
      </c>
      <c r="AL51" s="48">
        <f t="shared" ref="AL51:AL56" si="28">AG51/12</f>
        <v>2022.692848856517</v>
      </c>
      <c r="AM51" s="44">
        <f t="shared" si="20"/>
        <v>308276.66894924769</v>
      </c>
      <c r="AN51" s="44">
        <f>IF(B51=0,0,D51*(1+'Eingabe Immodaten'!$C$15/100))*'Eingabe Immodaten'!H22</f>
        <v>957908.47945701936</v>
      </c>
      <c r="AO51" s="44">
        <f>IF(D51=0,0,AN51-W51+Tabelle12[[#This Row],[Spalte36]])</f>
        <v>1266185.1483979528</v>
      </c>
      <c r="AP51" s="44">
        <f>IF(B51='Eingabe Immodaten'!$H$28,Ergebnistabelle!D51*'Eingabe Immodaten'!$H$22,0)</f>
        <v>0</v>
      </c>
      <c r="AQ51" s="44">
        <f>IF(B51='Eingabe Immodaten'!$H$28,Ergebnistabelle!AM51,0)</f>
        <v>0</v>
      </c>
      <c r="AR51" s="44">
        <f>IF(B51='Eingabe Immodaten'!$H$28,Ergebnistabelle!AO51,0)</f>
        <v>0</v>
      </c>
      <c r="AS51" s="44">
        <f>IF(B51='Eingabe Immodaten'!$H$28,Ergebnistabelle!W51,0)</f>
        <v>0</v>
      </c>
      <c r="AT51" s="44">
        <f>IF(B51='Eingabe Immodaten'!$H$28,Ergebnistabelle!G51,0)</f>
        <v>0</v>
      </c>
      <c r="AU51" s="44">
        <f>IF(B51='Eingabe Immodaten'!$H$28,Ergebnistabelle!L51,0)</f>
        <v>0</v>
      </c>
      <c r="AV51" s="191"/>
      <c r="AW51" s="191"/>
      <c r="AX51" s="191"/>
      <c r="AY51" s="191"/>
      <c r="AZ51" s="191"/>
      <c r="BA51" s="191"/>
      <c r="BB51" s="191"/>
      <c r="BC51" s="191"/>
      <c r="BD51" s="191"/>
      <c r="BE51" s="191"/>
      <c r="BF51" s="191"/>
      <c r="BG51" s="191"/>
      <c r="BH51" s="191"/>
      <c r="BI51" s="191"/>
      <c r="BJ51" s="191"/>
      <c r="BK51" s="191"/>
      <c r="BL51" s="191"/>
      <c r="BM51" s="191"/>
    </row>
    <row r="52" spans="1:65">
      <c r="A52" s="191"/>
      <c r="B52" s="45">
        <f>IF(B51=0,0,IF(B51+1&gt;'Eingabe Immodaten'!$H$28,0,B51+1))</f>
        <v>46</v>
      </c>
      <c r="C52" s="49">
        <f t="shared" si="22"/>
        <v>3592.5160495687796</v>
      </c>
      <c r="D52" s="44">
        <f>IF(B52=0,0,D51*(1+'Eingabe Immodaten'!$C$15/100))</f>
        <v>43110.192594825356</v>
      </c>
      <c r="E52" s="44">
        <f t="shared" si="0"/>
        <v>1100116.6124223361</v>
      </c>
      <c r="F52" s="44">
        <f>IF(B52=0,0,F51*(1+'Eingabe Immodaten'!$C$16/100))</f>
        <v>2084.5156926008667</v>
      </c>
      <c r="G52" s="44">
        <f t="shared" si="23"/>
        <v>41025.676902224492</v>
      </c>
      <c r="H52" s="44">
        <f>IF(B52=0,0,IF(B52&lt;='Eingabe Immodaten'!$C$28,'Eingabe Immodaten'!$C$32,'Eingabe Immodaten'!$C$34))</f>
        <v>15907.759200000002</v>
      </c>
      <c r="I52" s="44">
        <f>IF(B52=0,0,IF(B52&lt;='Eingabe Immodaten'!$H$6,'Eingabe Immodaten'!$H$9,'Eingabe Immodaten'!$H$11))</f>
        <v>0</v>
      </c>
      <c r="J52" s="44">
        <f t="shared" si="3"/>
        <v>1.0435999999999999E-7</v>
      </c>
      <c r="K52" s="44">
        <f t="shared" si="15"/>
        <v>0</v>
      </c>
      <c r="L52" s="44">
        <f t="shared" si="16"/>
        <v>1.0435999999999999E-7</v>
      </c>
      <c r="M52" s="80"/>
      <c r="N52" s="80"/>
      <c r="O52" s="47">
        <f>IF(B52=0,0,IF(B52&lt;='Eingabe Immodaten'!$C$28,'Eingabe Immodaten'!$C$30,'Eingabe Immodaten'!$C$33))</f>
        <v>4.3600000000000003</v>
      </c>
      <c r="P52" s="44">
        <f t="shared" si="4"/>
        <v>4.359999999999999E-9</v>
      </c>
      <c r="Q52" s="44">
        <f t="shared" si="5"/>
        <v>9.9999999999999995E-8</v>
      </c>
      <c r="R52" s="44">
        <f>IF(B52=0,0,IF(B52&lt;='Eingabe Immodaten'!$H$6,'Eingabe Immodaten'!$H$7,'Eingabe Immodaten'!$H$10))</f>
        <v>2.5299999999999998</v>
      </c>
      <c r="S52" s="44">
        <f t="shared" si="6"/>
        <v>2.0781734065051535E-7</v>
      </c>
      <c r="T52" s="44">
        <f t="shared" si="17"/>
        <v>-2.0781734065051535E-7</v>
      </c>
      <c r="U52" s="44">
        <f t="shared" si="7"/>
        <v>9.9999999999999982E-8</v>
      </c>
      <c r="V52" s="44">
        <f t="shared" si="8"/>
        <v>8.5219414770345218E-6</v>
      </c>
      <c r="W52" s="44">
        <f t="shared" si="24"/>
        <v>8.6219414770345225E-6</v>
      </c>
      <c r="X52" s="44">
        <f>IF(B52=0,0,'Eingabe Immodaten'!$H$14)</f>
        <v>215104.92000000004</v>
      </c>
      <c r="Y52" s="93">
        <f>IF(B52=0,0,IF(Z51=0,0,('Eingabe Immodaten'!$H$15)))</f>
        <v>0</v>
      </c>
      <c r="Z52" s="93">
        <f>IF(B52=0,0,IF(Z51+1&gt;99,0,Z51+Tabelle12[[#This Row],[Spalte23]]))</f>
        <v>0</v>
      </c>
      <c r="AA52" s="44">
        <f t="shared" si="21"/>
        <v>0</v>
      </c>
      <c r="AB52" s="44"/>
      <c r="AC52" s="44"/>
      <c r="AD52" s="44"/>
      <c r="AE52" s="44">
        <f>IF(B52=0,0,IF(B52&lt;='Eingabe Immodaten'!$C$28,IF('Eingabe Immodaten'!$C$29&gt;5,'Eingabe Immodaten'!$C$29/100*'Eingabe Immodaten'!$C$23/'Eingabe Immodaten'!$C$28,0),0))</f>
        <v>0</v>
      </c>
      <c r="AF52" s="44">
        <f>(G52-P52-S52-AA52-AD52)*'Eingabe Immodaten'!$H$19</f>
        <v>16000.013991784805</v>
      </c>
      <c r="AG52" s="44">
        <f t="shared" si="25"/>
        <v>25025.662910335326</v>
      </c>
      <c r="AH52" s="44"/>
      <c r="AI52" s="44">
        <f>IF(B52='Eingabe Immodaten'!$H$28,U52,0)</f>
        <v>0</v>
      </c>
      <c r="AJ52" s="44">
        <f t="shared" si="26"/>
        <v>25025.662910439685</v>
      </c>
      <c r="AK52" s="44">
        <f t="shared" si="27"/>
        <v>25025.662910335326</v>
      </c>
      <c r="AL52" s="48">
        <f t="shared" si="28"/>
        <v>2085.4719091946104</v>
      </c>
      <c r="AM52" s="44">
        <f t="shared" si="20"/>
        <v>333302.33185958304</v>
      </c>
      <c r="AN52" s="44">
        <f>IF(B52=0,0,D52*(1+'Eingabe Immodaten'!$C$15/100))*'Eingabe Immodaten'!H22</f>
        <v>986645.73384072992</v>
      </c>
      <c r="AO52" s="44">
        <f>IF(D52=0,0,AN52-W52+Tabelle12[[#This Row],[Spalte36]])</f>
        <v>1319948.0656916909</v>
      </c>
      <c r="AP52" s="44">
        <f>IF(B52='Eingabe Immodaten'!$H$28,Ergebnistabelle!D52*'Eingabe Immodaten'!$H$22,0)</f>
        <v>0</v>
      </c>
      <c r="AQ52" s="44">
        <f>IF(B52='Eingabe Immodaten'!$H$28,Ergebnistabelle!AM52,0)</f>
        <v>0</v>
      </c>
      <c r="AR52" s="44">
        <f>IF(B52='Eingabe Immodaten'!$H$28,Ergebnistabelle!AO52,0)</f>
        <v>0</v>
      </c>
      <c r="AS52" s="44">
        <f>IF(B52='Eingabe Immodaten'!$H$28,Ergebnistabelle!W52,0)</f>
        <v>0</v>
      </c>
      <c r="AT52" s="44">
        <f>IF(B52='Eingabe Immodaten'!$H$28,Ergebnistabelle!G52,0)</f>
        <v>0</v>
      </c>
      <c r="AU52" s="44">
        <f>IF(B52='Eingabe Immodaten'!$H$28,Ergebnistabelle!L52,0)</f>
        <v>0</v>
      </c>
      <c r="AV52" s="191"/>
      <c r="AW52" s="191"/>
      <c r="AX52" s="191"/>
      <c r="AY52" s="191"/>
      <c r="AZ52" s="191"/>
      <c r="BA52" s="191"/>
      <c r="BB52" s="191"/>
      <c r="BC52" s="191"/>
      <c r="BD52" s="191"/>
      <c r="BE52" s="191"/>
      <c r="BF52" s="191"/>
      <c r="BG52" s="191"/>
      <c r="BH52" s="191"/>
      <c r="BI52" s="191"/>
      <c r="BJ52" s="191"/>
      <c r="BK52" s="191"/>
      <c r="BL52" s="191"/>
      <c r="BM52" s="191"/>
    </row>
    <row r="53" spans="1:65">
      <c r="A53" s="191"/>
      <c r="B53" s="45">
        <f>IF(B52=0,0,IF(B52+1&gt;'Eingabe Immodaten'!$H$28,0,B52+1))</f>
        <v>47</v>
      </c>
      <c r="C53" s="49">
        <f t="shared" si="22"/>
        <v>3700.2915310558433</v>
      </c>
      <c r="D53" s="44">
        <f>IF(B53=0,0,D52*(1+'Eingabe Immodaten'!$C$15/100))</f>
        <v>44403.498372670118</v>
      </c>
      <c r="E53" s="44">
        <f t="shared" si="0"/>
        <v>1144520.1107950062</v>
      </c>
      <c r="F53" s="44">
        <f>IF(B53=0,0,F52*(1+'Eingabe Immodaten'!$C$16/100))</f>
        <v>2105.3608495268754</v>
      </c>
      <c r="G53" s="44">
        <f t="shared" si="23"/>
        <v>42298.137523143239</v>
      </c>
      <c r="H53" s="44">
        <f>IF(B53=0,0,IF(B53&lt;='Eingabe Immodaten'!$C$28,'Eingabe Immodaten'!$C$32,'Eingabe Immodaten'!$C$34))</f>
        <v>15907.759200000002</v>
      </c>
      <c r="I53" s="44">
        <f>IF(B53=0,0,IF(B53&lt;='Eingabe Immodaten'!$H$6,'Eingabe Immodaten'!$H$9,'Eingabe Immodaten'!$H$11))</f>
        <v>0</v>
      </c>
      <c r="J53" s="44">
        <f t="shared" si="3"/>
        <v>1.0435999999999999E-7</v>
      </c>
      <c r="K53" s="44">
        <f t="shared" si="15"/>
        <v>0</v>
      </c>
      <c r="L53" s="44">
        <f t="shared" si="16"/>
        <v>1.0435999999999999E-7</v>
      </c>
      <c r="M53" s="80"/>
      <c r="N53" s="80"/>
      <c r="O53" s="47">
        <f>IF(B53=0,0,IF(B53&lt;='Eingabe Immodaten'!$C$28,'Eingabe Immodaten'!$C$30,'Eingabe Immodaten'!$C$33))</f>
        <v>4.3600000000000003</v>
      </c>
      <c r="P53" s="44">
        <f t="shared" si="4"/>
        <v>4.359999999999999E-9</v>
      </c>
      <c r="Q53" s="44">
        <f t="shared" si="5"/>
        <v>9.9999999999999995E-8</v>
      </c>
      <c r="R53" s="44">
        <f>IF(B53=0,0,IF(B53&lt;='Eingabe Immodaten'!$H$6,'Eingabe Immodaten'!$H$7,'Eingabe Immodaten'!$H$10))</f>
        <v>2.5299999999999998</v>
      </c>
      <c r="S53" s="44">
        <f t="shared" si="6"/>
        <v>2.1560511936897336E-7</v>
      </c>
      <c r="T53" s="44">
        <f t="shared" si="17"/>
        <v>-2.1560511936897336E-7</v>
      </c>
      <c r="U53" s="44">
        <f t="shared" si="7"/>
        <v>9.9999999999999982E-8</v>
      </c>
      <c r="V53" s="44">
        <f t="shared" si="8"/>
        <v>8.8375465964034966E-6</v>
      </c>
      <c r="W53" s="44">
        <f t="shared" si="24"/>
        <v>8.9375465964034973E-6</v>
      </c>
      <c r="X53" s="44">
        <f>IF(B53=0,0,'Eingabe Immodaten'!$H$14)</f>
        <v>215104.92000000004</v>
      </c>
      <c r="Y53" s="93">
        <f>IF(B53=0,0,IF(Z52=0,0,('Eingabe Immodaten'!$H$15)))</f>
        <v>0</v>
      </c>
      <c r="Z53" s="93">
        <f>IF(B53=0,0,IF(Z52+1&gt;99,0,Z52+Tabelle12[[#This Row],[Spalte23]]))</f>
        <v>0</v>
      </c>
      <c r="AA53" s="44">
        <f>X53*Y53/100</f>
        <v>0</v>
      </c>
      <c r="AB53" s="44"/>
      <c r="AC53" s="44"/>
      <c r="AD53" s="44"/>
      <c r="AE53" s="44">
        <f>IF(B53=0,0,IF(B53&lt;='Eingabe Immodaten'!$C$28,IF('Eingabe Immodaten'!$C$29&gt;5,'Eingabe Immodaten'!$C$29/100*'Eingabe Immodaten'!$C$23/'Eingabe Immodaten'!$C$28,0),0))</f>
        <v>0</v>
      </c>
      <c r="AF53" s="44">
        <f>(G53-P53-S53-AA53-AD53)*'Eingabe Immodaten'!$H$19</f>
        <v>16496.273633940076</v>
      </c>
      <c r="AG53" s="44">
        <f t="shared" si="25"/>
        <v>25801.863889098804</v>
      </c>
      <c r="AH53" s="44"/>
      <c r="AI53" s="44">
        <f>IF(B53='Eingabe Immodaten'!$H$28,U53,0)</f>
        <v>0</v>
      </c>
      <c r="AJ53" s="44">
        <f t="shared" si="26"/>
        <v>25801.863889203163</v>
      </c>
      <c r="AK53" s="44">
        <f t="shared" si="27"/>
        <v>25801.863889098804</v>
      </c>
      <c r="AL53" s="48">
        <f t="shared" si="28"/>
        <v>2150.1553240915669</v>
      </c>
      <c r="AM53" s="44">
        <f t="shared" si="20"/>
        <v>359104.19574868184</v>
      </c>
      <c r="AN53" s="44">
        <f>IF(B53=0,0,D53*(1+'Eingabe Immodaten'!$C$15/100))*'Eingabe Immodaten'!H22</f>
        <v>1016245.1058559519</v>
      </c>
      <c r="AO53" s="44">
        <f>IF(D53=0,0,AN53-W53+Tabelle12[[#This Row],[Spalte36]])</f>
        <v>1375349.3015956962</v>
      </c>
      <c r="AP53" s="44">
        <f>IF(B53='Eingabe Immodaten'!$H$28,Ergebnistabelle!D53*'Eingabe Immodaten'!$H$22,0)</f>
        <v>0</v>
      </c>
      <c r="AQ53" s="44">
        <f>IF(B53='Eingabe Immodaten'!$H$28,Ergebnistabelle!AM53,0)</f>
        <v>0</v>
      </c>
      <c r="AR53" s="44">
        <f>IF(B53='Eingabe Immodaten'!$H$28,Ergebnistabelle!AO53,0)</f>
        <v>0</v>
      </c>
      <c r="AS53" s="44">
        <f>IF(B53='Eingabe Immodaten'!$H$28,Ergebnistabelle!W53,0)</f>
        <v>0</v>
      </c>
      <c r="AT53" s="44">
        <f>IF(B53='Eingabe Immodaten'!$H$28,Ergebnistabelle!G53,0)</f>
        <v>0</v>
      </c>
      <c r="AU53" s="44">
        <f>IF(B53='Eingabe Immodaten'!$H$28,Ergebnistabelle!L53,0)</f>
        <v>0</v>
      </c>
      <c r="AV53" s="191"/>
      <c r="AW53" s="191"/>
      <c r="AX53" s="191"/>
      <c r="AY53" s="191"/>
      <c r="AZ53" s="191"/>
      <c r="BA53" s="191"/>
      <c r="BB53" s="191"/>
      <c r="BC53" s="191"/>
      <c r="BD53" s="191"/>
      <c r="BE53" s="191"/>
      <c r="BF53" s="191"/>
      <c r="BG53" s="191"/>
      <c r="BH53" s="191"/>
      <c r="BI53" s="191"/>
      <c r="BJ53" s="191"/>
      <c r="BK53" s="191"/>
      <c r="BL53" s="191"/>
      <c r="BM53" s="191"/>
    </row>
    <row r="54" spans="1:65">
      <c r="A54" s="191"/>
      <c r="B54" s="45">
        <f>IF(B53=0,0,IF(B53+1&gt;'Eingabe Immodaten'!$H$28,0,B53+1))</f>
        <v>48</v>
      </c>
      <c r="C54" s="49">
        <f t="shared" si="22"/>
        <v>3811.3002769875184</v>
      </c>
      <c r="D54" s="44">
        <f>IF(B54=0,0,D53*(1+'Eingabe Immodaten'!$C$15/100))</f>
        <v>45735.60332385022</v>
      </c>
      <c r="E54" s="44">
        <f t="shared" si="0"/>
        <v>1190255.7141188565</v>
      </c>
      <c r="F54" s="44">
        <f>IF(B54=0,0,F53*(1+'Eingabe Immodaten'!$C$16/100))</f>
        <v>2126.4144580221441</v>
      </c>
      <c r="G54" s="44">
        <f t="shared" si="23"/>
        <v>43609.188865828073</v>
      </c>
      <c r="H54" s="44">
        <f>IF(B54=0,0,IF(B54&lt;='Eingabe Immodaten'!$C$28,'Eingabe Immodaten'!$C$32,'Eingabe Immodaten'!$C$34))</f>
        <v>15907.759200000002</v>
      </c>
      <c r="I54" s="44">
        <f>IF(B54=0,0,IF(B54&lt;='Eingabe Immodaten'!$H$6,'Eingabe Immodaten'!$H$9,'Eingabe Immodaten'!$H$11))</f>
        <v>0</v>
      </c>
      <c r="J54" s="44">
        <f t="shared" si="3"/>
        <v>1.0435999999999999E-7</v>
      </c>
      <c r="K54" s="44">
        <f t="shared" si="15"/>
        <v>0</v>
      </c>
      <c r="L54" s="44">
        <f t="shared" si="16"/>
        <v>1.0435999999999999E-7</v>
      </c>
      <c r="M54" s="80"/>
      <c r="N54" s="80"/>
      <c r="O54" s="47">
        <f>IF(B54=0,0,IF(B54&lt;='Eingabe Immodaten'!$C$28,'Eingabe Immodaten'!$C$30,'Eingabe Immodaten'!$C$33))</f>
        <v>4.3600000000000003</v>
      </c>
      <c r="P54" s="44">
        <f t="shared" si="4"/>
        <v>4.359999999999999E-9</v>
      </c>
      <c r="Q54" s="44">
        <f t="shared" si="5"/>
        <v>9.9999999999999995E-8</v>
      </c>
      <c r="R54" s="44">
        <f>IF(B54=0,0,IF(B54&lt;='Eingabe Immodaten'!$H$6,'Eingabe Immodaten'!$H$7,'Eingabe Immodaten'!$H$10))</f>
        <v>2.5299999999999998</v>
      </c>
      <c r="S54" s="44">
        <f t="shared" si="6"/>
        <v>2.2358992888900847E-7</v>
      </c>
      <c r="T54" s="44">
        <f t="shared" si="17"/>
        <v>-2.2358992888900847E-7</v>
      </c>
      <c r="U54" s="44">
        <f t="shared" si="7"/>
        <v>9.9999999999999982E-8</v>
      </c>
      <c r="V54" s="44">
        <f t="shared" si="8"/>
        <v>9.1611365252925064E-6</v>
      </c>
      <c r="W54" s="44">
        <f t="shared" si="24"/>
        <v>9.2611365252925071E-6</v>
      </c>
      <c r="X54" s="44">
        <f>IF(B54=0,0,'Eingabe Immodaten'!$H$14)</f>
        <v>215104.92000000004</v>
      </c>
      <c r="Y54" s="93">
        <f>IF(B54=0,0,IF(Z53=0,0,('Eingabe Immodaten'!$H$15)))</f>
        <v>0</v>
      </c>
      <c r="Z54" s="93">
        <f>IF(B54=0,0,IF(Z53+1&gt;99,0,Z53+Tabelle12[[#This Row],[Spalte23]]))</f>
        <v>0</v>
      </c>
      <c r="AA54" s="44">
        <f>X54*Y54/100</f>
        <v>0</v>
      </c>
      <c r="AB54" s="44"/>
      <c r="AC54" s="44"/>
      <c r="AD54" s="44"/>
      <c r="AE54" s="44">
        <f>IF(B54=0,0,IF(B54&lt;='Eingabe Immodaten'!$C$28,IF('Eingabe Immodaten'!$C$29&gt;5,'Eingabe Immodaten'!$C$29/100*'Eingabe Immodaten'!$C$23/'Eingabe Immodaten'!$C$28,0),0))</f>
        <v>0</v>
      </c>
      <c r="AF54" s="44">
        <f>(G54-P54-S54-AA54-AD54)*'Eingabe Immodaten'!$H$19</f>
        <v>17007.583657584048</v>
      </c>
      <c r="AG54" s="44">
        <f t="shared" si="25"/>
        <v>26601.605208139667</v>
      </c>
      <c r="AH54" s="44"/>
      <c r="AI54" s="44">
        <f>IF(B54='Eingabe Immodaten'!$H$28,U54,0)</f>
        <v>0</v>
      </c>
      <c r="AJ54" s="44">
        <f t="shared" si="26"/>
        <v>26601.605208244026</v>
      </c>
      <c r="AK54" s="44">
        <f t="shared" si="27"/>
        <v>26601.605208139667</v>
      </c>
      <c r="AL54" s="48">
        <f t="shared" si="28"/>
        <v>2216.800434011639</v>
      </c>
      <c r="AM54" s="44">
        <f t="shared" si="20"/>
        <v>385705.80095682153</v>
      </c>
      <c r="AN54" s="44">
        <f>IF(B54=0,0,D54*(1+'Eingabe Immodaten'!$C$15/100))*'Eingabe Immodaten'!H22</f>
        <v>1046732.4590316304</v>
      </c>
      <c r="AO54" s="44">
        <f>IF(D54=0,0,AN54-W54+Tabelle12[[#This Row],[Spalte36]])</f>
        <v>1432438.2599791908</v>
      </c>
      <c r="AP54" s="44">
        <f>IF(B54='Eingabe Immodaten'!$H$28,Ergebnistabelle!D54*'Eingabe Immodaten'!$H$22,0)</f>
        <v>0</v>
      </c>
      <c r="AQ54" s="44">
        <f>IF(B54='Eingabe Immodaten'!$H$28,Ergebnistabelle!AM54,0)</f>
        <v>0</v>
      </c>
      <c r="AR54" s="44">
        <f>IF(B54='Eingabe Immodaten'!$H$28,Ergebnistabelle!AO54,0)</f>
        <v>0</v>
      </c>
      <c r="AS54" s="44">
        <f>IF(B54='Eingabe Immodaten'!$H$28,Ergebnistabelle!W54,0)</f>
        <v>0</v>
      </c>
      <c r="AT54" s="44">
        <f>IF(B54='Eingabe Immodaten'!$H$28,Ergebnistabelle!G54,0)</f>
        <v>0</v>
      </c>
      <c r="AU54" s="44">
        <f>IF(B54='Eingabe Immodaten'!$H$28,Ergebnistabelle!L54,0)</f>
        <v>0</v>
      </c>
      <c r="AV54" s="191"/>
      <c r="AW54" s="191"/>
      <c r="AX54" s="191"/>
      <c r="AY54" s="191"/>
      <c r="AZ54" s="191"/>
      <c r="BA54" s="191"/>
      <c r="BB54" s="191"/>
      <c r="BC54" s="191"/>
      <c r="BD54" s="191"/>
      <c r="BE54" s="191"/>
      <c r="BF54" s="191"/>
      <c r="BG54" s="191"/>
      <c r="BH54" s="191"/>
      <c r="BI54" s="191"/>
      <c r="BJ54" s="191"/>
      <c r="BK54" s="191"/>
      <c r="BL54" s="191"/>
      <c r="BM54" s="191"/>
    </row>
    <row r="55" spans="1:65">
      <c r="A55" s="191"/>
      <c r="B55" s="45">
        <f>IF(B54=0,0,IF(B54+1&gt;'Eingabe Immodaten'!$H$28,0,B54+1))</f>
        <v>49</v>
      </c>
      <c r="C55" s="49">
        <f t="shared" si="22"/>
        <v>3925.6392852971439</v>
      </c>
      <c r="D55" s="44">
        <f>IF(B55=0,0,D54*(1+'Eingabe Immodaten'!$C$15/100))</f>
        <v>47107.671423565727</v>
      </c>
      <c r="E55" s="44">
        <f t="shared" si="0"/>
        <v>1237363.3855424223</v>
      </c>
      <c r="F55" s="44">
        <f>IF(B55=0,0,F54*(1+'Eingabe Immodaten'!$C$16/100))</f>
        <v>2147.6786026023656</v>
      </c>
      <c r="G55" s="44">
        <f t="shared" si="23"/>
        <v>44959.992820963365</v>
      </c>
      <c r="H55" s="44">
        <f>IF(B55=0,0,IF(B55&lt;='Eingabe Immodaten'!$C$28,'Eingabe Immodaten'!$C$32,'Eingabe Immodaten'!$C$34))</f>
        <v>15907.759200000002</v>
      </c>
      <c r="I55" s="44">
        <f>IF(B55=0,0,IF(B55&lt;='Eingabe Immodaten'!$H$6,'Eingabe Immodaten'!$H$9,'Eingabe Immodaten'!$H$11))</f>
        <v>0</v>
      </c>
      <c r="J55" s="44">
        <f t="shared" si="3"/>
        <v>1.0435999999999999E-7</v>
      </c>
      <c r="K55" s="44">
        <f t="shared" si="15"/>
        <v>0</v>
      </c>
      <c r="L55" s="44">
        <f t="shared" si="16"/>
        <v>1.0435999999999999E-7</v>
      </c>
      <c r="M55" s="80"/>
      <c r="N55" s="80"/>
      <c r="O55" s="47">
        <f>IF(B55=0,0,IF(B55&lt;='Eingabe Immodaten'!$C$28,'Eingabe Immodaten'!$C$30,'Eingabe Immodaten'!$C$33))</f>
        <v>4.3600000000000003</v>
      </c>
      <c r="P55" s="44">
        <f t="shared" si="4"/>
        <v>4.359999999999999E-9</v>
      </c>
      <c r="Q55" s="44">
        <f t="shared" si="5"/>
        <v>9.9999999999999995E-8</v>
      </c>
      <c r="R55" s="44">
        <f>IF(B55=0,0,IF(B55&lt;='Eingabe Immodaten'!$H$6,'Eingabe Immodaten'!$H$7,'Eingabe Immodaten'!$H$10))</f>
        <v>2.5299999999999998</v>
      </c>
      <c r="S55" s="44">
        <f t="shared" si="6"/>
        <v>2.317767540899004E-7</v>
      </c>
      <c r="T55" s="44">
        <f t="shared" si="17"/>
        <v>-2.317767540899004E-7</v>
      </c>
      <c r="U55" s="44">
        <f t="shared" si="7"/>
        <v>9.9999999999999982E-8</v>
      </c>
      <c r="V55" s="44">
        <f t="shared" si="8"/>
        <v>9.4929132793824072E-6</v>
      </c>
      <c r="W55" s="44">
        <f t="shared" si="24"/>
        <v>9.5929132793824079E-6</v>
      </c>
      <c r="X55" s="44">
        <f>IF(B55=0,0,'Eingabe Immodaten'!$H$14)</f>
        <v>215104.92000000004</v>
      </c>
      <c r="Y55" s="93">
        <f>IF(B55=0,0,IF(Z54=0,0,('Eingabe Immodaten'!$H$15)))</f>
        <v>0</v>
      </c>
      <c r="Z55" s="93">
        <f>IF(B55=0,0,IF(Z54+1&gt;99,0,Z54+Tabelle12[[#This Row],[Spalte23]]))</f>
        <v>0</v>
      </c>
      <c r="AA55" s="44">
        <f>X55*Y55/100</f>
        <v>0</v>
      </c>
      <c r="AB55" s="44"/>
      <c r="AC55" s="44"/>
      <c r="AD55" s="44"/>
      <c r="AE55" s="44">
        <f>IF(B55=0,0,IF(B55&lt;='Eingabe Immodaten'!$C$28,IF('Eingabe Immodaten'!$C$29&gt;5,'Eingabe Immodaten'!$C$29/100*'Eingabe Immodaten'!$C$23/'Eingabe Immodaten'!$C$28,0),0))</f>
        <v>0</v>
      </c>
      <c r="AF55" s="44">
        <f>(G55-P55-S55-AA55-AD55)*'Eingabe Immodaten'!$H$19</f>
        <v>17534.397200083622</v>
      </c>
      <c r="AG55" s="44">
        <f t="shared" si="25"/>
        <v>27425.595620775384</v>
      </c>
      <c r="AH55" s="44"/>
      <c r="AI55" s="44">
        <f>IF(B55='Eingabe Immodaten'!$H$28,U55,0)</f>
        <v>0</v>
      </c>
      <c r="AJ55" s="44">
        <f t="shared" si="26"/>
        <v>27425.595620879743</v>
      </c>
      <c r="AK55" s="44">
        <f t="shared" si="27"/>
        <v>27425.595620775384</v>
      </c>
      <c r="AL55" s="48">
        <f t="shared" si="28"/>
        <v>2285.4663017312819</v>
      </c>
      <c r="AM55" s="44">
        <f t="shared" si="20"/>
        <v>413131.3965775969</v>
      </c>
      <c r="AN55" s="44">
        <f>IF(B55=0,0,D55*(1+'Eingabe Immodaten'!$C$15/100))*'Eingabe Immodaten'!H22</f>
        <v>1078134.4328025794</v>
      </c>
      <c r="AO55" s="44">
        <f>IF(D55=0,0,AN55-W55+Tabelle12[[#This Row],[Spalte36]])</f>
        <v>1491265.8293705834</v>
      </c>
      <c r="AP55" s="44">
        <f>IF(B55='Eingabe Immodaten'!$H$28,Ergebnistabelle!D55*'Eingabe Immodaten'!$H$22,0)</f>
        <v>0</v>
      </c>
      <c r="AQ55" s="44">
        <f>IF(B55='Eingabe Immodaten'!$H$28,Ergebnistabelle!AM55,0)</f>
        <v>0</v>
      </c>
      <c r="AR55" s="44">
        <f>IF(B55='Eingabe Immodaten'!$H$28,Ergebnistabelle!AO55,0)</f>
        <v>0</v>
      </c>
      <c r="AS55" s="44">
        <f>IF(B55='Eingabe Immodaten'!$H$28,Ergebnistabelle!W55,0)</f>
        <v>0</v>
      </c>
      <c r="AT55" s="44">
        <f>IF(B55='Eingabe Immodaten'!$H$28,Ergebnistabelle!G55,0)</f>
        <v>0</v>
      </c>
      <c r="AU55" s="44">
        <f>IF(B55='Eingabe Immodaten'!$H$28,Ergebnistabelle!L55,0)</f>
        <v>0</v>
      </c>
      <c r="AV55" s="191"/>
      <c r="AW55" s="191"/>
      <c r="AX55" s="191"/>
      <c r="AY55" s="191"/>
      <c r="AZ55" s="191"/>
      <c r="BA55" s="191"/>
      <c r="BB55" s="191"/>
      <c r="BC55" s="191"/>
      <c r="BD55" s="191"/>
      <c r="BE55" s="191"/>
      <c r="BF55" s="191"/>
      <c r="BG55" s="191"/>
      <c r="BH55" s="191"/>
      <c r="BI55" s="191"/>
      <c r="BJ55" s="191"/>
      <c r="BK55" s="191"/>
      <c r="BL55" s="191"/>
      <c r="BM55" s="191"/>
    </row>
    <row r="56" spans="1:65">
      <c r="A56" s="191"/>
      <c r="B56" s="45">
        <f>IF(B55=0,0,IF(B55+1&gt;'Eingabe Immodaten'!$H$28,0,B55+1))</f>
        <v>50</v>
      </c>
      <c r="C56" s="49">
        <f t="shared" si="22"/>
        <v>4043.4084638560585</v>
      </c>
      <c r="D56" s="44">
        <f>IF(B56=0,0,D55*(1+'Eingabe Immodaten'!$C$15/100))</f>
        <v>48520.901566272703</v>
      </c>
      <c r="E56" s="44">
        <f t="shared" si="0"/>
        <v>1285884.2871086949</v>
      </c>
      <c r="F56" s="44">
        <f>IF(B56=0,0,F55*(1+'Eingabe Immodaten'!$C$16/100))</f>
        <v>2169.1553886283891</v>
      </c>
      <c r="G56" s="44">
        <f t="shared" si="23"/>
        <v>46351.746177644316</v>
      </c>
      <c r="H56" s="44">
        <f>IF(B56=0,0,IF(B56&lt;='Eingabe Immodaten'!$C$28,'Eingabe Immodaten'!$C$32,'Eingabe Immodaten'!$C$34))</f>
        <v>15907.759200000002</v>
      </c>
      <c r="I56" s="44">
        <f>IF(B56=0,0,IF(B56&lt;='Eingabe Immodaten'!$H$6,'Eingabe Immodaten'!$H$9,'Eingabe Immodaten'!$H$11))</f>
        <v>0</v>
      </c>
      <c r="J56" s="44">
        <f t="shared" si="3"/>
        <v>1.0435999999999999E-7</v>
      </c>
      <c r="K56" s="44">
        <f t="shared" si="15"/>
        <v>0</v>
      </c>
      <c r="L56" s="44">
        <f t="shared" si="16"/>
        <v>1.0435999999999999E-7</v>
      </c>
      <c r="M56" s="80"/>
      <c r="N56" s="80"/>
      <c r="O56" s="47">
        <f>IF(B56=0,0,IF(B56&lt;='Eingabe Immodaten'!$C$28,'Eingabe Immodaten'!$C$30,'Eingabe Immodaten'!$C$33))</f>
        <v>4.3600000000000003</v>
      </c>
      <c r="P56" s="44">
        <f t="shared" si="4"/>
        <v>4.359999999999999E-9</v>
      </c>
      <c r="Q56" s="44">
        <f t="shared" si="5"/>
        <v>9.9999999999999995E-8</v>
      </c>
      <c r="R56" s="44">
        <f>IF(B56=0,0,IF(B56&lt;='Eingabe Immodaten'!$H$6,'Eingabe Immodaten'!$H$7,'Eingabe Immodaten'!$H$10))</f>
        <v>2.5299999999999998</v>
      </c>
      <c r="S56" s="44">
        <f t="shared" si="6"/>
        <v>2.4017070596837489E-7</v>
      </c>
      <c r="T56" s="44">
        <f t="shared" si="17"/>
        <v>-2.4017070596837489E-7</v>
      </c>
      <c r="U56" s="44">
        <f t="shared" si="7"/>
        <v>9.9999999999999982E-8</v>
      </c>
      <c r="V56" s="44">
        <f t="shared" si="8"/>
        <v>9.8330839853507823E-6</v>
      </c>
      <c r="W56" s="44">
        <f t="shared" si="24"/>
        <v>9.9330839853507831E-6</v>
      </c>
      <c r="X56" s="44">
        <f>IF(B56=0,0,'Eingabe Immodaten'!$H$14)</f>
        <v>215104.92000000004</v>
      </c>
      <c r="Y56" s="93">
        <f>IF(B56=0,0,IF(Z55=0,0,('Eingabe Immodaten'!$H$15)))</f>
        <v>0</v>
      </c>
      <c r="Z56" s="93">
        <f>IF(B56=0,0,IF(Z55+1&gt;99,0,Z55+Tabelle12[[#This Row],[Spalte23]]))</f>
        <v>0</v>
      </c>
      <c r="AA56" s="44">
        <f>X56*Y56/100</f>
        <v>0</v>
      </c>
      <c r="AB56" s="44"/>
      <c r="AC56" s="44"/>
      <c r="AD56" s="44"/>
      <c r="AE56" s="44">
        <f>IF(B56=0,0,IF(B56&lt;='Eingabe Immodaten'!$C$28,IF('Eingabe Immodaten'!$C$29&gt;5,'Eingabe Immodaten'!$C$29/100*'Eingabe Immodaten'!$C$23/'Eingabe Immodaten'!$C$28,0),0))</f>
        <v>0</v>
      </c>
      <c r="AF56" s="44">
        <f>(G56-P56-S56-AA56-AD56)*'Eingabe Immodaten'!$H$19</f>
        <v>18077.181009185919</v>
      </c>
      <c r="AG56" s="44">
        <f t="shared" si="25"/>
        <v>28274.565168254037</v>
      </c>
      <c r="AH56" s="44"/>
      <c r="AI56" s="44">
        <f>IF(B56='Eingabe Immodaten'!$H$28,U56,0)</f>
        <v>9.9999999999999982E-8</v>
      </c>
      <c r="AJ56" s="44">
        <f t="shared" si="26"/>
        <v>28274.565168458397</v>
      </c>
      <c r="AK56" s="44">
        <f t="shared" si="27"/>
        <v>28274.565168154037</v>
      </c>
      <c r="AL56" s="48">
        <f t="shared" si="28"/>
        <v>2356.2137640211699</v>
      </c>
      <c r="AM56" s="44">
        <f t="shared" si="20"/>
        <v>441405.96174585092</v>
      </c>
      <c r="AN56" s="44">
        <f>IF(B56=0,0,D56*(1+'Eingabe Immodaten'!$C$15/100))*'Eingabe Immodaten'!H22</f>
        <v>1110478.4657866568</v>
      </c>
      <c r="AO56" s="44">
        <f>IF(D56=0,0,AN56-W56+Tabelle12[[#This Row],[Spalte36]])</f>
        <v>1551884.4275225748</v>
      </c>
      <c r="AP56" s="44">
        <f>IF(B56='Eingabe Immodaten'!$H$28,Ergebnistabelle!D56*'Eingabe Immodaten'!$H$22,0)</f>
        <v>1078134.4328025794</v>
      </c>
      <c r="AQ56" s="44">
        <f>IF(B56='Eingabe Immodaten'!$H$28,Ergebnistabelle!AM56,0)</f>
        <v>441405.96174585092</v>
      </c>
      <c r="AR56" s="44">
        <f>IF(B56='Eingabe Immodaten'!$H$28,Ergebnistabelle!AO56,0)</f>
        <v>1551884.4275225748</v>
      </c>
      <c r="AS56" s="44">
        <f>IF(B56='Eingabe Immodaten'!$H$28,Ergebnistabelle!W56,0)</f>
        <v>9.9330839853507831E-6</v>
      </c>
      <c r="AT56" s="44">
        <f>IF(B56='Eingabe Immodaten'!$H$28,Ergebnistabelle!G56,0)</f>
        <v>46351.746177644316</v>
      </c>
      <c r="AU56" s="44">
        <f>IF(B56='Eingabe Immodaten'!$H$28,Ergebnistabelle!L56,0)</f>
        <v>1.0435999999999999E-7</v>
      </c>
      <c r="AV56" s="191"/>
      <c r="AW56" s="191"/>
      <c r="AX56" s="191"/>
      <c r="AY56" s="191"/>
      <c r="AZ56" s="191"/>
      <c r="BA56" s="191"/>
      <c r="BB56" s="191"/>
      <c r="BC56" s="191"/>
      <c r="BD56" s="191"/>
      <c r="BE56" s="191"/>
      <c r="BF56" s="191"/>
      <c r="BG56" s="191"/>
      <c r="BH56" s="191"/>
      <c r="BI56" s="191"/>
      <c r="BJ56" s="191"/>
      <c r="BK56" s="191"/>
      <c r="BL56" s="191"/>
      <c r="BM56" s="191"/>
    </row>
    <row r="57" spans="1:65" ht="12.5">
      <c r="A57" s="258"/>
      <c r="B57" s="111"/>
      <c r="C57" s="191"/>
      <c r="D57" s="191"/>
      <c r="E57" s="191"/>
      <c r="F57" s="191"/>
      <c r="G57" s="191"/>
      <c r="H57" s="191"/>
      <c r="I57" s="191"/>
      <c r="J57" s="191"/>
      <c r="K57" s="191"/>
      <c r="L57" s="191"/>
      <c r="M57" s="191"/>
      <c r="N57" s="191"/>
      <c r="O57" s="191"/>
      <c r="P57" s="191"/>
      <c r="Q57" s="191"/>
      <c r="R57" s="191"/>
      <c r="S57" s="191"/>
      <c r="T57" s="191"/>
      <c r="U57" s="191"/>
      <c r="V57" s="191"/>
      <c r="X57" s="191"/>
      <c r="Y57" s="191"/>
      <c r="Z57" s="191"/>
      <c r="AA57" s="191"/>
      <c r="AB57" s="191"/>
      <c r="AC57" s="191"/>
      <c r="AD57" s="191"/>
      <c r="AE57" s="191"/>
      <c r="AF57" s="191"/>
      <c r="AG57" s="191"/>
      <c r="AH57" s="191"/>
      <c r="AI57" s="191"/>
      <c r="AJ57" s="191"/>
      <c r="AK57" s="191"/>
      <c r="AL57" s="191"/>
      <c r="AM57" s="191"/>
      <c r="AN57" s="191"/>
      <c r="AO57" s="194"/>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row>
    <row r="58" spans="1:65" ht="12.5">
      <c r="A58" s="258"/>
      <c r="B58" s="258"/>
      <c r="C58" s="258"/>
      <c r="D58" s="258"/>
      <c r="E58" s="258"/>
      <c r="F58" s="258"/>
      <c r="G58" s="258"/>
      <c r="H58" s="258"/>
      <c r="I58" s="258"/>
      <c r="J58" s="258"/>
      <c r="K58" s="258"/>
      <c r="L58" s="258"/>
      <c r="M58" s="258"/>
      <c r="N58" s="258"/>
      <c r="O58" s="258"/>
      <c r="P58" s="258"/>
      <c r="Q58" s="258"/>
      <c r="R58" s="258"/>
      <c r="S58" s="258"/>
      <c r="T58" s="258"/>
      <c r="U58" s="258"/>
      <c r="V58" s="258"/>
      <c r="W58" s="193" t="s">
        <v>226</v>
      </c>
      <c r="X58" s="258"/>
      <c r="Y58" s="258"/>
      <c r="Z58" s="258"/>
      <c r="AA58" s="258"/>
      <c r="AB58" s="258"/>
      <c r="AC58" s="258"/>
      <c r="AD58" s="258"/>
      <c r="AE58" s="258"/>
      <c r="AF58" s="258"/>
      <c r="AG58" s="258"/>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L58" s="191"/>
      <c r="BM58" s="191"/>
    </row>
    <row r="59" spans="1:65">
      <c r="A59" s="258"/>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191"/>
      <c r="AI59" s="191"/>
      <c r="AJ59" s="191"/>
      <c r="AK59" s="191"/>
      <c r="AL59" s="191"/>
      <c r="AM59" s="191"/>
      <c r="AN59" s="191"/>
      <c r="AO59" s="191"/>
      <c r="AP59" s="191"/>
      <c r="AQ59" s="191"/>
      <c r="AR59" s="191"/>
      <c r="AS59" s="191"/>
      <c r="AT59" s="191"/>
      <c r="AU59" s="191"/>
      <c r="AV59" s="191"/>
      <c r="AW59" s="191"/>
      <c r="AX59" s="191"/>
      <c r="AY59" s="191"/>
      <c r="AZ59" s="191"/>
      <c r="BA59" s="191"/>
      <c r="BB59" s="191"/>
      <c r="BC59" s="191"/>
      <c r="BD59" s="191"/>
      <c r="BE59" s="191"/>
      <c r="BF59" s="191"/>
      <c r="BG59" s="191"/>
      <c r="BH59" s="191"/>
      <c r="BI59" s="191"/>
      <c r="BJ59" s="191"/>
      <c r="BK59" s="191"/>
      <c r="BL59" s="191"/>
      <c r="BM59" s="191"/>
    </row>
    <row r="60" spans="1:65">
      <c r="A60" s="258"/>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191"/>
      <c r="AI60" s="191"/>
      <c r="AJ60" s="191"/>
      <c r="AK60" s="191"/>
      <c r="AL60" s="191"/>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1"/>
      <c r="BI60" s="191"/>
      <c r="BJ60" s="191"/>
      <c r="BK60" s="191"/>
      <c r="BL60" s="191"/>
      <c r="BM60" s="191"/>
    </row>
    <row r="61" spans="1:65">
      <c r="A61" s="258"/>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191"/>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191"/>
      <c r="BI61" s="191"/>
      <c r="BJ61" s="191"/>
      <c r="BK61" s="191"/>
      <c r="BL61" s="191"/>
      <c r="BM61" s="191"/>
    </row>
    <row r="62" spans="1:65">
      <c r="A62" s="258"/>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191"/>
      <c r="AI62" s="191"/>
      <c r="AJ62" s="191"/>
      <c r="AK62" s="191"/>
      <c r="AL62" s="191"/>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191"/>
      <c r="BI62" s="191"/>
      <c r="BJ62" s="191"/>
      <c r="BK62" s="191"/>
      <c r="BL62" s="191"/>
      <c r="BM62" s="191"/>
    </row>
    <row r="63" spans="1:65">
      <c r="A63" s="258"/>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191"/>
      <c r="AI63" s="191"/>
      <c r="AJ63" s="191"/>
      <c r="AK63" s="191"/>
      <c r="AL63" s="191"/>
      <c r="AM63" s="191"/>
      <c r="AN63" s="191"/>
      <c r="AO63" s="191"/>
      <c r="AP63" s="191"/>
      <c r="AQ63" s="191"/>
      <c r="AR63" s="191"/>
      <c r="AS63" s="191"/>
      <c r="AT63" s="191"/>
      <c r="AU63" s="191"/>
      <c r="AV63" s="191"/>
      <c r="AW63" s="191"/>
      <c r="AX63" s="191"/>
      <c r="AY63" s="191"/>
      <c r="AZ63" s="191"/>
      <c r="BA63" s="191"/>
      <c r="BB63" s="191"/>
      <c r="BC63" s="191"/>
      <c r="BD63" s="191"/>
      <c r="BE63" s="191"/>
      <c r="BF63" s="191"/>
      <c r="BG63" s="191"/>
      <c r="BH63" s="191"/>
      <c r="BI63" s="191"/>
      <c r="BJ63" s="191"/>
      <c r="BK63" s="191"/>
      <c r="BL63" s="191"/>
      <c r="BM63" s="191"/>
    </row>
    <row r="64" spans="1:65">
      <c r="A64" s="258"/>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row>
    <row r="65" spans="1:65">
      <c r="A65" s="258"/>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row>
    <row r="66" spans="1:65">
      <c r="A66" s="258"/>
      <c r="B66" s="258"/>
      <c r="C66" s="258"/>
      <c r="D66" s="258"/>
      <c r="E66" s="258"/>
      <c r="F66" s="258"/>
      <c r="G66" s="258"/>
      <c r="H66" s="258"/>
      <c r="I66" s="258"/>
      <c r="J66" s="258"/>
      <c r="K66" s="258"/>
      <c r="L66" s="258"/>
      <c r="M66" s="258"/>
      <c r="N66" s="258"/>
      <c r="O66" s="258"/>
      <c r="P66" s="258"/>
      <c r="Q66" s="258"/>
      <c r="R66" s="258"/>
      <c r="S66" s="258"/>
      <c r="T66" s="258"/>
      <c r="U66" s="258"/>
      <c r="V66" s="258"/>
      <c r="W66" s="258"/>
      <c r="X66" s="258"/>
      <c r="Y66" s="258"/>
      <c r="Z66" s="258"/>
      <c r="AA66" s="258"/>
      <c r="AB66" s="258"/>
      <c r="AC66" s="258"/>
      <c r="AD66" s="258"/>
      <c r="AE66" s="258"/>
      <c r="AF66" s="258"/>
      <c r="AG66" s="258"/>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row>
    <row r="67" spans="1:65">
      <c r="A67" s="258"/>
      <c r="B67" s="258"/>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8"/>
      <c r="AD67" s="258"/>
      <c r="AE67" s="258"/>
      <c r="AF67" s="258"/>
      <c r="AG67" s="258"/>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row>
    <row r="68" spans="1:65">
      <c r="A68" s="258"/>
      <c r="B68" s="258"/>
      <c r="C68" s="258"/>
      <c r="D68" s="258"/>
      <c r="E68" s="258"/>
      <c r="F68" s="258"/>
      <c r="G68" s="258"/>
      <c r="H68" s="258"/>
      <c r="I68" s="258"/>
      <c r="J68" s="258"/>
      <c r="K68" s="258"/>
      <c r="L68" s="258"/>
      <c r="M68" s="258"/>
      <c r="N68" s="258"/>
      <c r="O68" s="258"/>
      <c r="P68" s="258"/>
      <c r="Q68" s="258"/>
      <c r="R68" s="258"/>
      <c r="S68" s="258"/>
      <c r="T68" s="258"/>
      <c r="U68" s="258"/>
      <c r="V68" s="258"/>
      <c r="W68" s="258"/>
      <c r="X68" s="258"/>
      <c r="Y68" s="258"/>
      <c r="Z68" s="258"/>
      <c r="AA68" s="258"/>
      <c r="AB68" s="258"/>
      <c r="AC68" s="258"/>
      <c r="AD68" s="258"/>
      <c r="AE68" s="258"/>
      <c r="AF68" s="258"/>
      <c r="AG68" s="258"/>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row>
    <row r="69" spans="1:65">
      <c r="A69" s="258"/>
      <c r="B69" s="258"/>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8"/>
      <c r="AC69" s="258"/>
      <c r="AD69" s="258"/>
      <c r="AE69" s="258"/>
      <c r="AF69" s="258"/>
      <c r="AG69" s="258"/>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row>
    <row r="70" spans="1:65">
      <c r="A70" s="258"/>
      <c r="B70" s="258"/>
      <c r="C70" s="258"/>
      <c r="D70" s="258"/>
      <c r="E70" s="258"/>
      <c r="F70" s="258"/>
      <c r="G70" s="258"/>
      <c r="H70" s="258"/>
      <c r="I70" s="258"/>
      <c r="J70" s="258"/>
      <c r="K70" s="258"/>
      <c r="L70" s="258"/>
      <c r="M70" s="258"/>
      <c r="N70" s="258"/>
      <c r="O70" s="258"/>
      <c r="P70" s="258"/>
      <c r="Q70" s="258"/>
      <c r="R70" s="258"/>
      <c r="S70" s="258"/>
      <c r="T70" s="258"/>
      <c r="U70" s="258"/>
      <c r="V70" s="258"/>
      <c r="W70" s="258"/>
      <c r="X70" s="258"/>
      <c r="Y70" s="258"/>
      <c r="Z70" s="258"/>
      <c r="AA70" s="258"/>
      <c r="AB70" s="258"/>
      <c r="AC70" s="258"/>
      <c r="AD70" s="258"/>
      <c r="AE70" s="258"/>
      <c r="AF70" s="258"/>
      <c r="AG70" s="258"/>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row>
    <row r="71" spans="1:65">
      <c r="A71" s="258"/>
      <c r="B71" s="258"/>
      <c r="C71" s="258"/>
      <c r="D71" s="258"/>
      <c r="E71" s="258"/>
      <c r="F71" s="258"/>
      <c r="G71" s="258"/>
      <c r="H71" s="258"/>
      <c r="I71" s="258"/>
      <c r="J71" s="258"/>
      <c r="K71" s="258"/>
      <c r="L71" s="258"/>
      <c r="M71" s="258"/>
      <c r="N71" s="258"/>
      <c r="O71" s="258"/>
      <c r="P71" s="258"/>
      <c r="Q71" s="258"/>
      <c r="R71" s="258"/>
      <c r="S71" s="258"/>
      <c r="T71" s="258"/>
      <c r="U71" s="258"/>
      <c r="V71" s="258"/>
      <c r="W71" s="258"/>
      <c r="X71" s="258"/>
      <c r="Y71" s="258"/>
      <c r="Z71" s="258"/>
      <c r="AA71" s="258"/>
      <c r="AB71" s="258"/>
      <c r="AC71" s="258"/>
      <c r="AD71" s="258"/>
      <c r="AE71" s="258"/>
      <c r="AF71" s="258"/>
      <c r="AG71" s="258"/>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row>
    <row r="72" spans="1:65">
      <c r="A72" s="258"/>
      <c r="B72" s="258"/>
      <c r="C72" s="258"/>
      <c r="D72" s="258"/>
      <c r="E72" s="258"/>
      <c r="F72" s="258"/>
      <c r="G72" s="258"/>
      <c r="H72" s="258"/>
      <c r="I72" s="258"/>
      <c r="J72" s="258"/>
      <c r="K72" s="258"/>
      <c r="L72" s="258"/>
      <c r="M72" s="258"/>
      <c r="N72" s="258"/>
      <c r="O72" s="258"/>
      <c r="P72" s="258"/>
      <c r="Q72" s="258"/>
      <c r="R72" s="258"/>
      <c r="S72" s="258"/>
      <c r="T72" s="258"/>
      <c r="U72" s="258"/>
      <c r="V72" s="258"/>
      <c r="W72" s="258"/>
      <c r="X72" s="258"/>
      <c r="Y72" s="258"/>
      <c r="Z72" s="258"/>
      <c r="AA72" s="258"/>
      <c r="AB72" s="258"/>
      <c r="AC72" s="258"/>
      <c r="AD72" s="258"/>
      <c r="AE72" s="258"/>
      <c r="AF72" s="258"/>
      <c r="AG72" s="258"/>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c r="BM72" s="191"/>
    </row>
    <row r="73" spans="1:65">
      <c r="A73" s="258"/>
      <c r="B73" s="258"/>
      <c r="C73" s="258"/>
      <c r="D73" s="258"/>
      <c r="E73" s="258"/>
      <c r="F73" s="258"/>
      <c r="G73" s="258"/>
      <c r="H73" s="258"/>
      <c r="I73" s="258"/>
      <c r="J73" s="258"/>
      <c r="K73" s="258"/>
      <c r="L73" s="258"/>
      <c r="M73" s="258"/>
      <c r="N73" s="258"/>
      <c r="O73" s="258"/>
      <c r="P73" s="258"/>
      <c r="Q73" s="258"/>
      <c r="R73" s="258"/>
      <c r="S73" s="258"/>
      <c r="T73" s="258"/>
      <c r="U73" s="258"/>
      <c r="V73" s="258"/>
      <c r="W73" s="258"/>
      <c r="X73" s="258"/>
      <c r="Y73" s="258"/>
      <c r="Z73" s="258"/>
      <c r="AA73" s="258"/>
      <c r="AB73" s="258"/>
      <c r="AC73" s="258"/>
      <c r="AD73" s="258"/>
      <c r="AE73" s="258"/>
      <c r="AF73" s="258"/>
      <c r="AG73" s="258"/>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row>
    <row r="74" spans="1:65">
      <c r="A74" s="258"/>
      <c r="B74" s="258"/>
      <c r="C74" s="258"/>
      <c r="D74" s="258"/>
      <c r="E74" s="258"/>
      <c r="F74" s="258"/>
      <c r="G74" s="258"/>
      <c r="H74" s="258"/>
      <c r="I74" s="258"/>
      <c r="J74" s="258"/>
      <c r="K74" s="258"/>
      <c r="L74" s="258"/>
      <c r="M74" s="258"/>
      <c r="N74" s="258"/>
      <c r="O74" s="258"/>
      <c r="P74" s="258"/>
      <c r="Q74" s="258"/>
      <c r="R74" s="258"/>
      <c r="S74" s="258"/>
      <c r="T74" s="258"/>
      <c r="U74" s="258"/>
      <c r="V74" s="258"/>
      <c r="W74" s="258"/>
      <c r="X74" s="258"/>
      <c r="Y74" s="258"/>
      <c r="Z74" s="258"/>
      <c r="AA74" s="258"/>
      <c r="AB74" s="258"/>
      <c r="AC74" s="258"/>
      <c r="AD74" s="258"/>
      <c r="AE74" s="258"/>
      <c r="AF74" s="258"/>
      <c r="AG74" s="258"/>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row>
    <row r="75" spans="1:65">
      <c r="A75" s="258"/>
      <c r="B75" s="258"/>
      <c r="C75" s="258"/>
      <c r="D75" s="258"/>
      <c r="E75" s="258"/>
      <c r="F75" s="258"/>
      <c r="G75" s="258"/>
      <c r="H75" s="258"/>
      <c r="I75" s="258"/>
      <c r="J75" s="258"/>
      <c r="K75" s="258"/>
      <c r="L75" s="258"/>
      <c r="M75" s="258"/>
      <c r="N75" s="258"/>
      <c r="O75" s="258"/>
      <c r="P75" s="258"/>
      <c r="Q75" s="258"/>
      <c r="R75" s="258"/>
      <c r="S75" s="258"/>
      <c r="T75" s="258"/>
      <c r="U75" s="258"/>
      <c r="V75" s="258"/>
      <c r="W75" s="258"/>
      <c r="X75" s="258"/>
      <c r="Y75" s="258"/>
      <c r="Z75" s="258"/>
      <c r="AA75" s="258"/>
      <c r="AB75" s="258"/>
      <c r="AC75" s="258"/>
      <c r="AD75" s="258"/>
      <c r="AE75" s="258"/>
      <c r="AF75" s="258"/>
      <c r="AG75" s="258"/>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row>
    <row r="76" spans="1:65">
      <c r="A76" s="258"/>
      <c r="B76" s="258"/>
      <c r="C76" s="258"/>
      <c r="D76" s="258"/>
      <c r="E76" s="258"/>
      <c r="F76" s="258"/>
      <c r="G76" s="258"/>
      <c r="H76" s="258"/>
      <c r="I76" s="258"/>
      <c r="J76" s="258"/>
      <c r="K76" s="258"/>
      <c r="L76" s="258"/>
      <c r="M76" s="258"/>
      <c r="N76" s="258"/>
      <c r="O76" s="258"/>
      <c r="P76" s="258"/>
      <c r="Q76" s="258"/>
      <c r="R76" s="258"/>
      <c r="S76" s="258"/>
      <c r="T76" s="258"/>
      <c r="U76" s="258"/>
      <c r="V76" s="258"/>
      <c r="W76" s="258"/>
      <c r="X76" s="258"/>
      <c r="Y76" s="258"/>
      <c r="Z76" s="258"/>
      <c r="AA76" s="258"/>
      <c r="AB76" s="258"/>
      <c r="AC76" s="258"/>
      <c r="AD76" s="258"/>
      <c r="AE76" s="258"/>
      <c r="AF76" s="258"/>
      <c r="AG76" s="258"/>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row>
    <row r="77" spans="1:65">
      <c r="A77" s="258"/>
      <c r="B77" s="258"/>
      <c r="C77" s="258"/>
      <c r="D77" s="258"/>
      <c r="E77" s="258"/>
      <c r="F77" s="258"/>
      <c r="G77" s="258"/>
      <c r="H77" s="258"/>
      <c r="I77" s="258"/>
      <c r="J77" s="258"/>
      <c r="K77" s="258"/>
      <c r="L77" s="258"/>
      <c r="M77" s="258"/>
      <c r="N77" s="258"/>
      <c r="O77" s="258"/>
      <c r="P77" s="258"/>
      <c r="Q77" s="258"/>
      <c r="R77" s="258"/>
      <c r="S77" s="258"/>
      <c r="T77" s="258"/>
      <c r="U77" s="258"/>
      <c r="V77" s="258"/>
      <c r="W77" s="258"/>
      <c r="X77" s="258"/>
      <c r="Y77" s="258"/>
      <c r="Z77" s="258"/>
      <c r="AA77" s="258"/>
      <c r="AB77" s="258"/>
      <c r="AC77" s="258"/>
      <c r="AD77" s="258"/>
      <c r="AE77" s="258"/>
      <c r="AF77" s="258"/>
      <c r="AG77" s="258"/>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row>
    <row r="78" spans="1:65">
      <c r="A78" s="258"/>
      <c r="B78" s="258"/>
      <c r="C78" s="258"/>
      <c r="D78" s="258"/>
      <c r="E78" s="258"/>
      <c r="F78" s="258"/>
      <c r="G78" s="258"/>
      <c r="H78" s="258"/>
      <c r="I78" s="258"/>
      <c r="J78" s="258"/>
      <c r="K78" s="258"/>
      <c r="L78" s="258"/>
      <c r="M78" s="258"/>
      <c r="N78" s="258"/>
      <c r="O78" s="258"/>
      <c r="P78" s="258"/>
      <c r="Q78" s="258"/>
      <c r="R78" s="258"/>
      <c r="S78" s="258"/>
      <c r="T78" s="258"/>
      <c r="U78" s="258"/>
      <c r="V78" s="258"/>
      <c r="W78" s="258"/>
      <c r="X78" s="258"/>
      <c r="Y78" s="258"/>
      <c r="Z78" s="258"/>
      <c r="AA78" s="258"/>
      <c r="AB78" s="258"/>
      <c r="AC78" s="258"/>
      <c r="AD78" s="258"/>
      <c r="AE78" s="258"/>
      <c r="AF78" s="258"/>
      <c r="AG78" s="258"/>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row>
    <row r="79" spans="1:65">
      <c r="A79" s="258"/>
      <c r="B79" s="258"/>
      <c r="C79" s="258"/>
      <c r="D79" s="258"/>
      <c r="E79" s="258"/>
      <c r="F79" s="258"/>
      <c r="G79" s="258"/>
      <c r="H79" s="258"/>
      <c r="I79" s="258"/>
      <c r="J79" s="258"/>
      <c r="K79" s="258"/>
      <c r="L79" s="258"/>
      <c r="M79" s="258"/>
      <c r="N79" s="258"/>
      <c r="O79" s="258"/>
      <c r="P79" s="258"/>
      <c r="Q79" s="258"/>
      <c r="R79" s="258"/>
      <c r="S79" s="258"/>
      <c r="T79" s="258"/>
      <c r="U79" s="258"/>
      <c r="V79" s="258"/>
      <c r="W79" s="258"/>
      <c r="X79" s="258"/>
      <c r="Y79" s="258"/>
      <c r="Z79" s="258"/>
      <c r="AA79" s="258"/>
      <c r="AB79" s="258"/>
      <c r="AC79" s="258"/>
      <c r="AD79" s="258"/>
      <c r="AE79" s="258"/>
      <c r="AF79" s="258"/>
      <c r="AG79" s="258"/>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row>
    <row r="80" spans="1:65">
      <c r="A80" s="258"/>
      <c r="B80" s="258"/>
      <c r="C80" s="258"/>
      <c r="D80" s="258"/>
      <c r="E80" s="258"/>
      <c r="F80" s="258"/>
      <c r="G80" s="258"/>
      <c r="H80" s="258"/>
      <c r="I80" s="258"/>
      <c r="J80" s="258"/>
      <c r="K80" s="258"/>
      <c r="L80" s="258"/>
      <c r="M80" s="258"/>
      <c r="N80" s="258"/>
      <c r="O80" s="258"/>
      <c r="P80" s="258"/>
      <c r="Q80" s="258"/>
      <c r="R80" s="258"/>
      <c r="S80" s="258"/>
      <c r="T80" s="258"/>
      <c r="U80" s="258"/>
      <c r="V80" s="258"/>
      <c r="W80" s="258"/>
      <c r="X80" s="258"/>
      <c r="Y80" s="258"/>
      <c r="Z80" s="258"/>
      <c r="AA80" s="258"/>
      <c r="AB80" s="258"/>
      <c r="AC80" s="258"/>
      <c r="AD80" s="258"/>
      <c r="AE80" s="258"/>
      <c r="AF80" s="258"/>
      <c r="AG80" s="258"/>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row>
    <row r="81" spans="1:65">
      <c r="A81" s="258"/>
      <c r="B81" s="258"/>
      <c r="C81" s="258"/>
      <c r="D81" s="258"/>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8"/>
      <c r="AF81" s="258"/>
      <c r="AG81" s="258"/>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row>
    <row r="82" spans="1:65">
      <c r="A82" s="258"/>
      <c r="B82" s="258"/>
      <c r="C82" s="258"/>
      <c r="D82" s="258"/>
      <c r="E82" s="258"/>
      <c r="F82" s="258"/>
      <c r="G82" s="258"/>
      <c r="H82" s="258"/>
      <c r="I82" s="258"/>
      <c r="J82" s="258"/>
      <c r="K82" s="258"/>
      <c r="L82" s="258"/>
      <c r="M82" s="258"/>
      <c r="N82" s="258"/>
      <c r="O82" s="258"/>
      <c r="P82" s="258"/>
      <c r="Q82" s="258"/>
      <c r="R82" s="258"/>
      <c r="S82" s="258"/>
      <c r="T82" s="258"/>
      <c r="U82" s="258"/>
      <c r="V82" s="258"/>
      <c r="W82" s="258"/>
      <c r="X82" s="258"/>
      <c r="Y82" s="258"/>
      <c r="Z82" s="258"/>
      <c r="AA82" s="258"/>
      <c r="AB82" s="258"/>
      <c r="AC82" s="258"/>
      <c r="AD82" s="258"/>
      <c r="AE82" s="258"/>
      <c r="AF82" s="258"/>
      <c r="AG82" s="258"/>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row>
    <row r="83" spans="1:65">
      <c r="A83" s="258"/>
      <c r="B83" s="258"/>
      <c r="C83" s="258"/>
      <c r="D83" s="258"/>
      <c r="E83" s="258"/>
      <c r="F83" s="258"/>
      <c r="G83" s="258"/>
      <c r="H83" s="258"/>
      <c r="I83" s="258"/>
      <c r="J83" s="258"/>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row>
    <row r="84" spans="1:65">
      <c r="A84" s="258"/>
      <c r="B84" s="258"/>
      <c r="C84" s="258"/>
      <c r="D84" s="258"/>
      <c r="E84" s="258"/>
      <c r="F84" s="258"/>
      <c r="G84" s="258"/>
      <c r="H84" s="258"/>
      <c r="I84" s="258"/>
      <c r="J84" s="258"/>
      <c r="K84" s="258"/>
      <c r="L84" s="258"/>
      <c r="M84" s="258"/>
      <c r="N84" s="258"/>
      <c r="O84" s="258"/>
      <c r="P84" s="258"/>
      <c r="Q84" s="258"/>
      <c r="R84" s="258"/>
      <c r="S84" s="258"/>
      <c r="T84" s="258"/>
      <c r="U84" s="258"/>
      <c r="V84" s="258"/>
      <c r="W84" s="258"/>
      <c r="X84" s="258"/>
      <c r="Y84" s="258"/>
      <c r="Z84" s="258"/>
      <c r="AA84" s="258"/>
      <c r="AB84" s="258"/>
      <c r="AC84" s="258"/>
      <c r="AD84" s="258"/>
      <c r="AE84" s="258"/>
      <c r="AF84" s="258"/>
      <c r="AG84" s="258"/>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row>
    <row r="85" spans="1:65">
      <c r="A85" s="258"/>
      <c r="B85" s="258"/>
      <c r="C85" s="258"/>
      <c r="D85" s="258"/>
      <c r="E85" s="258"/>
      <c r="F85" s="258"/>
      <c r="G85" s="258"/>
      <c r="H85" s="258"/>
      <c r="I85" s="258"/>
      <c r="J85" s="258"/>
      <c r="K85" s="258"/>
      <c r="L85" s="258"/>
      <c r="M85" s="258"/>
      <c r="N85" s="258"/>
      <c r="O85" s="258"/>
      <c r="P85" s="258"/>
      <c r="Q85" s="258"/>
      <c r="R85" s="258"/>
      <c r="S85" s="258"/>
      <c r="T85" s="258"/>
      <c r="U85" s="258"/>
      <c r="V85" s="258"/>
      <c r="W85" s="258"/>
      <c r="X85" s="258"/>
      <c r="Y85" s="258"/>
      <c r="Z85" s="258"/>
      <c r="AA85" s="258"/>
      <c r="AB85" s="258"/>
      <c r="AC85" s="258"/>
      <c r="AD85" s="258"/>
      <c r="AE85" s="258"/>
      <c r="AF85" s="258"/>
      <c r="AG85" s="258"/>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row>
    <row r="86" spans="1:65">
      <c r="A86" s="258"/>
      <c r="B86" s="258"/>
      <c r="C86" s="258"/>
      <c r="D86" s="258"/>
      <c r="E86" s="258"/>
      <c r="F86" s="258"/>
      <c r="G86" s="258"/>
      <c r="H86" s="258"/>
      <c r="I86" s="258"/>
      <c r="J86" s="258"/>
      <c r="K86" s="258"/>
      <c r="L86" s="258"/>
      <c r="M86" s="258"/>
      <c r="N86" s="258"/>
      <c r="O86" s="258"/>
      <c r="P86" s="258"/>
      <c r="Q86" s="258"/>
      <c r="R86" s="258"/>
      <c r="S86" s="258"/>
      <c r="T86" s="258"/>
      <c r="U86" s="258"/>
      <c r="V86" s="258"/>
      <c r="W86" s="258"/>
      <c r="X86" s="258"/>
      <c r="Y86" s="258"/>
      <c r="Z86" s="258"/>
      <c r="AA86" s="258"/>
      <c r="AB86" s="258"/>
      <c r="AC86" s="258"/>
      <c r="AD86" s="258"/>
      <c r="AE86" s="258"/>
      <c r="AF86" s="258"/>
      <c r="AG86" s="258"/>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row>
    <row r="87" spans="1:65">
      <c r="A87" s="258"/>
      <c r="B87" s="258"/>
      <c r="C87" s="258"/>
      <c r="D87" s="258"/>
      <c r="E87" s="258"/>
      <c r="F87" s="258"/>
      <c r="G87" s="258"/>
      <c r="H87" s="258"/>
      <c r="I87" s="258"/>
      <c r="J87" s="258"/>
      <c r="K87" s="258"/>
      <c r="L87" s="258"/>
      <c r="M87" s="258"/>
      <c r="N87" s="258"/>
      <c r="O87" s="258"/>
      <c r="P87" s="258"/>
      <c r="Q87" s="258"/>
      <c r="R87" s="258"/>
      <c r="S87" s="258"/>
      <c r="T87" s="258"/>
      <c r="U87" s="258"/>
      <c r="V87" s="258"/>
      <c r="W87" s="258"/>
      <c r="X87" s="258"/>
      <c r="Y87" s="258"/>
      <c r="Z87" s="258"/>
      <c r="AA87" s="258"/>
      <c r="AB87" s="258"/>
      <c r="AC87" s="258"/>
      <c r="AD87" s="258"/>
      <c r="AE87" s="258"/>
      <c r="AF87" s="258"/>
      <c r="AG87" s="258"/>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row>
    <row r="88" spans="1:65">
      <c r="A88" s="258"/>
      <c r="B88" s="258"/>
      <c r="C88" s="258"/>
      <c r="D88" s="258"/>
      <c r="E88" s="258"/>
      <c r="F88" s="258"/>
      <c r="G88" s="258"/>
      <c r="H88" s="258"/>
      <c r="I88" s="258"/>
      <c r="J88" s="258"/>
      <c r="K88" s="258"/>
      <c r="L88" s="258"/>
      <c r="M88" s="258"/>
      <c r="N88" s="258"/>
      <c r="O88" s="258"/>
      <c r="P88" s="258"/>
      <c r="Q88" s="258"/>
      <c r="R88" s="258"/>
      <c r="S88" s="258"/>
      <c r="T88" s="258"/>
      <c r="U88" s="258"/>
      <c r="V88" s="258"/>
      <c r="W88" s="258"/>
      <c r="X88" s="258"/>
      <c r="Y88" s="258"/>
      <c r="Z88" s="258"/>
      <c r="AA88" s="258"/>
      <c r="AB88" s="258"/>
      <c r="AC88" s="258"/>
      <c r="AD88" s="258"/>
      <c r="AE88" s="258"/>
      <c r="AF88" s="258"/>
      <c r="AG88" s="258"/>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row>
    <row r="89" spans="1:65">
      <c r="A89" s="258"/>
      <c r="B89" s="258"/>
      <c r="C89" s="258"/>
      <c r="D89" s="258"/>
      <c r="E89" s="258"/>
      <c r="F89" s="258"/>
      <c r="G89" s="258"/>
      <c r="H89" s="258"/>
      <c r="I89" s="258"/>
      <c r="J89" s="258"/>
      <c r="K89" s="258"/>
      <c r="L89" s="258"/>
      <c r="M89" s="258"/>
      <c r="N89" s="258"/>
      <c r="O89" s="258"/>
      <c r="P89" s="258"/>
      <c r="Q89" s="258"/>
      <c r="R89" s="258"/>
      <c r="S89" s="258"/>
      <c r="T89" s="258"/>
      <c r="U89" s="258"/>
      <c r="V89" s="258"/>
      <c r="W89" s="258"/>
      <c r="X89" s="258"/>
      <c r="Y89" s="258"/>
      <c r="Z89" s="258"/>
      <c r="AA89" s="258"/>
      <c r="AB89" s="258"/>
      <c r="AC89" s="258"/>
      <c r="AD89" s="258"/>
      <c r="AE89" s="258"/>
      <c r="AF89" s="258"/>
      <c r="AG89" s="258"/>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row>
    <row r="90" spans="1:65">
      <c r="A90" s="258"/>
      <c r="B90" s="258"/>
      <c r="C90" s="258"/>
      <c r="D90" s="258"/>
      <c r="E90" s="258"/>
      <c r="F90" s="258"/>
      <c r="G90" s="258"/>
      <c r="H90" s="258"/>
      <c r="I90" s="258"/>
      <c r="J90" s="258"/>
      <c r="K90" s="258"/>
      <c r="L90" s="258"/>
      <c r="M90" s="258"/>
      <c r="N90" s="258"/>
      <c r="O90" s="258"/>
      <c r="P90" s="258"/>
      <c r="Q90" s="258"/>
      <c r="R90" s="258"/>
      <c r="S90" s="258"/>
      <c r="T90" s="258"/>
      <c r="U90" s="258"/>
      <c r="V90" s="258"/>
      <c r="W90" s="258"/>
      <c r="X90" s="258"/>
      <c r="Y90" s="258"/>
      <c r="Z90" s="258"/>
      <c r="AA90" s="258"/>
      <c r="AB90" s="258"/>
      <c r="AC90" s="258"/>
      <c r="AD90" s="258"/>
      <c r="AE90" s="258"/>
      <c r="AF90" s="258"/>
      <c r="AG90" s="258"/>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row>
    <row r="91" spans="1:65">
      <c r="A91" s="258"/>
      <c r="B91" s="258"/>
      <c r="C91" s="258"/>
      <c r="D91" s="258"/>
      <c r="E91" s="258"/>
      <c r="F91" s="258"/>
      <c r="G91" s="258"/>
      <c r="H91" s="258"/>
      <c r="I91" s="258"/>
      <c r="J91" s="258"/>
      <c r="K91" s="258"/>
      <c r="L91" s="258"/>
      <c r="M91" s="258"/>
      <c r="N91" s="258"/>
      <c r="O91" s="258"/>
      <c r="P91" s="258"/>
      <c r="Q91" s="258"/>
      <c r="R91" s="258"/>
      <c r="S91" s="258"/>
      <c r="T91" s="258"/>
      <c r="U91" s="258"/>
      <c r="V91" s="258"/>
      <c r="W91" s="258"/>
      <c r="X91" s="258"/>
      <c r="Y91" s="258"/>
      <c r="Z91" s="258"/>
      <c r="AA91" s="258"/>
      <c r="AB91" s="258"/>
      <c r="AC91" s="258"/>
      <c r="AD91" s="258"/>
      <c r="AE91" s="258"/>
      <c r="AF91" s="258"/>
      <c r="AG91" s="258"/>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row>
    <row r="92" spans="1:65">
      <c r="A92" s="258"/>
      <c r="B92" s="258"/>
      <c r="C92" s="258"/>
      <c r="D92" s="258"/>
      <c r="E92" s="258"/>
      <c r="F92" s="258"/>
      <c r="G92" s="258"/>
      <c r="H92" s="258"/>
      <c r="I92" s="258"/>
      <c r="J92" s="258"/>
      <c r="K92" s="258"/>
      <c r="L92" s="258"/>
      <c r="M92" s="258"/>
      <c r="N92" s="258"/>
      <c r="O92" s="258"/>
      <c r="P92" s="258"/>
      <c r="Q92" s="258"/>
      <c r="R92" s="258"/>
      <c r="S92" s="258"/>
      <c r="T92" s="258"/>
      <c r="U92" s="258"/>
      <c r="V92" s="258"/>
      <c r="W92" s="258"/>
      <c r="X92" s="258"/>
      <c r="Y92" s="258"/>
      <c r="Z92" s="258"/>
      <c r="AA92" s="258"/>
      <c r="AB92" s="258"/>
      <c r="AC92" s="258"/>
      <c r="AD92" s="258"/>
      <c r="AE92" s="258"/>
      <c r="AF92" s="258"/>
      <c r="AG92" s="258"/>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row>
    <row r="93" spans="1:65">
      <c r="A93" s="258"/>
      <c r="B93" s="258"/>
      <c r="C93" s="258"/>
      <c r="D93" s="258"/>
      <c r="E93" s="258"/>
      <c r="F93" s="258"/>
      <c r="G93" s="258"/>
      <c r="H93" s="258"/>
      <c r="I93" s="258"/>
      <c r="J93" s="258"/>
      <c r="K93" s="258"/>
      <c r="L93" s="258"/>
      <c r="M93" s="258"/>
      <c r="N93" s="258"/>
      <c r="O93" s="258"/>
      <c r="P93" s="258"/>
      <c r="Q93" s="258"/>
      <c r="R93" s="258"/>
      <c r="S93" s="258"/>
      <c r="T93" s="258"/>
      <c r="U93" s="258"/>
      <c r="V93" s="258"/>
      <c r="W93" s="258"/>
      <c r="X93" s="258"/>
      <c r="Y93" s="258"/>
      <c r="Z93" s="258"/>
      <c r="AA93" s="258"/>
      <c r="AB93" s="258"/>
      <c r="AC93" s="258"/>
      <c r="AD93" s="258"/>
      <c r="AE93" s="258"/>
      <c r="AF93" s="258"/>
      <c r="AG93" s="258"/>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row>
    <row r="94" spans="1:65">
      <c r="A94" s="258"/>
      <c r="B94" s="258"/>
      <c r="C94" s="258"/>
      <c r="D94" s="258"/>
      <c r="E94" s="258"/>
      <c r="F94" s="258"/>
      <c r="G94" s="258"/>
      <c r="H94" s="258"/>
      <c r="I94" s="258"/>
      <c r="J94" s="258"/>
      <c r="K94" s="258"/>
      <c r="L94" s="258"/>
      <c r="M94" s="258"/>
      <c r="N94" s="258"/>
      <c r="O94" s="258"/>
      <c r="P94" s="258"/>
      <c r="Q94" s="258"/>
      <c r="R94" s="258"/>
      <c r="S94" s="258"/>
      <c r="T94" s="258"/>
      <c r="U94" s="258"/>
      <c r="V94" s="258"/>
      <c r="W94" s="258"/>
      <c r="X94" s="258"/>
      <c r="Y94" s="258"/>
      <c r="Z94" s="258"/>
      <c r="AA94" s="258"/>
      <c r="AB94" s="258"/>
      <c r="AC94" s="258"/>
      <c r="AD94" s="258"/>
      <c r="AE94" s="258"/>
      <c r="AF94" s="258"/>
      <c r="AG94" s="258"/>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91"/>
      <c r="BK94" s="191"/>
      <c r="BL94" s="191"/>
      <c r="BM94" s="191"/>
    </row>
    <row r="95" spans="1:65">
      <c r="A95" s="258"/>
      <c r="B95" s="258"/>
      <c r="C95" s="258"/>
      <c r="D95" s="258"/>
      <c r="E95" s="258"/>
      <c r="F95" s="258"/>
      <c r="G95" s="258"/>
      <c r="H95" s="258"/>
      <c r="I95" s="258"/>
      <c r="J95" s="258"/>
      <c r="K95" s="258"/>
      <c r="L95" s="258"/>
      <c r="M95" s="258"/>
      <c r="N95" s="258"/>
      <c r="O95" s="258"/>
      <c r="P95" s="258"/>
      <c r="Q95" s="258"/>
      <c r="R95" s="258"/>
      <c r="S95" s="258"/>
      <c r="T95" s="258"/>
      <c r="U95" s="258"/>
      <c r="V95" s="258"/>
      <c r="W95" s="258"/>
      <c r="X95" s="258"/>
      <c r="Y95" s="258"/>
      <c r="Z95" s="258"/>
      <c r="AA95" s="258"/>
      <c r="AB95" s="258"/>
      <c r="AC95" s="258"/>
      <c r="AD95" s="258"/>
      <c r="AE95" s="258"/>
      <c r="AF95" s="258"/>
      <c r="AG95" s="258"/>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91"/>
      <c r="BK95" s="191"/>
      <c r="BL95" s="191"/>
      <c r="BM95" s="191"/>
    </row>
    <row r="96" spans="1:65">
      <c r="A96" s="258"/>
      <c r="B96" s="258"/>
      <c r="C96" s="258"/>
      <c r="D96" s="258"/>
      <c r="E96" s="258"/>
      <c r="F96" s="258"/>
      <c r="G96" s="258"/>
      <c r="H96" s="258"/>
      <c r="I96" s="258"/>
      <c r="J96" s="258"/>
      <c r="K96" s="258"/>
      <c r="L96" s="258"/>
      <c r="M96" s="258"/>
      <c r="N96" s="258"/>
      <c r="O96" s="258"/>
      <c r="P96" s="258"/>
      <c r="Q96" s="258"/>
      <c r="R96" s="258"/>
      <c r="S96" s="258"/>
      <c r="T96" s="258"/>
      <c r="U96" s="258"/>
      <c r="V96" s="258"/>
      <c r="W96" s="258"/>
      <c r="X96" s="258"/>
      <c r="Y96" s="258"/>
      <c r="Z96" s="258"/>
      <c r="AA96" s="258"/>
      <c r="AB96" s="258"/>
      <c r="AC96" s="258"/>
      <c r="AD96" s="258"/>
      <c r="AE96" s="258"/>
      <c r="AF96" s="258"/>
      <c r="AG96" s="258"/>
      <c r="AH96" s="191"/>
      <c r="AI96" s="191"/>
      <c r="AJ96" s="191"/>
      <c r="AK96" s="191"/>
      <c r="AL96" s="191"/>
      <c r="AM96" s="191"/>
      <c r="AN96" s="191"/>
      <c r="AO96" s="191"/>
      <c r="AP96" s="191"/>
      <c r="AQ96" s="191"/>
      <c r="AR96" s="191"/>
      <c r="AS96" s="191"/>
      <c r="AT96" s="191"/>
      <c r="AU96" s="191"/>
      <c r="AV96" s="191"/>
      <c r="AW96" s="191"/>
      <c r="AX96" s="191"/>
      <c r="AY96" s="191"/>
      <c r="AZ96" s="191"/>
      <c r="BA96" s="191"/>
      <c r="BB96" s="191"/>
      <c r="BC96" s="191"/>
      <c r="BD96" s="191"/>
      <c r="BE96" s="191"/>
      <c r="BF96" s="191"/>
      <c r="BG96" s="191"/>
      <c r="BH96" s="191"/>
      <c r="BI96" s="191"/>
      <c r="BJ96" s="191"/>
      <c r="BK96" s="191"/>
      <c r="BL96" s="191"/>
      <c r="BM96" s="191"/>
    </row>
    <row r="97" spans="1:65">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c r="BM97" s="191"/>
    </row>
    <row r="98" spans="1:65">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191"/>
      <c r="AJ98" s="191"/>
      <c r="AK98" s="191"/>
      <c r="AL98" s="191"/>
      <c r="AM98" s="191"/>
      <c r="AN98" s="191"/>
      <c r="AO98" s="191"/>
      <c r="AP98" s="191"/>
      <c r="AQ98" s="191"/>
      <c r="AR98" s="191"/>
      <c r="AS98" s="191"/>
      <c r="AT98" s="191"/>
      <c r="AU98" s="191"/>
      <c r="AV98" s="191"/>
      <c r="AW98" s="191"/>
      <c r="AX98" s="191"/>
      <c r="AY98" s="191"/>
      <c r="AZ98" s="191"/>
      <c r="BA98" s="191"/>
      <c r="BB98" s="191"/>
      <c r="BC98" s="191"/>
      <c r="BD98" s="191"/>
      <c r="BE98" s="191"/>
      <c r="BF98" s="191"/>
      <c r="BG98" s="191"/>
      <c r="BH98" s="191"/>
      <c r="BI98" s="191"/>
      <c r="BJ98" s="191"/>
      <c r="BK98" s="191"/>
      <c r="BL98" s="191"/>
      <c r="BM98" s="191"/>
    </row>
    <row r="99" spans="1:65">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191"/>
      <c r="BF99" s="191"/>
      <c r="BG99" s="191"/>
      <c r="BH99" s="191"/>
      <c r="BI99" s="191"/>
      <c r="BJ99" s="191"/>
      <c r="BK99" s="191"/>
      <c r="BL99" s="191"/>
      <c r="BM99" s="191"/>
    </row>
    <row r="100" spans="1:65">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c r="AI100" s="191"/>
      <c r="AJ100" s="191"/>
      <c r="AK100" s="191"/>
      <c r="AL100" s="191"/>
      <c r="AM100" s="191"/>
      <c r="AN100" s="191"/>
      <c r="AO100" s="191"/>
      <c r="AP100" s="191"/>
      <c r="AQ100" s="191"/>
      <c r="AR100" s="191"/>
      <c r="AS100" s="191"/>
      <c r="AT100" s="191"/>
      <c r="AU100" s="191"/>
      <c r="AV100" s="191"/>
      <c r="AW100" s="191"/>
      <c r="AX100" s="191"/>
      <c r="AY100" s="191"/>
      <c r="AZ100" s="191"/>
      <c r="BA100" s="191"/>
      <c r="BB100" s="191"/>
      <c r="BC100" s="191"/>
      <c r="BD100" s="191"/>
      <c r="BE100" s="191"/>
      <c r="BF100" s="191"/>
      <c r="BG100" s="191"/>
      <c r="BH100" s="191"/>
      <c r="BI100" s="191"/>
      <c r="BJ100" s="191"/>
      <c r="BK100" s="191"/>
      <c r="BL100" s="191"/>
      <c r="BM100" s="191"/>
    </row>
    <row r="101" spans="1:65">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c r="AI101" s="191"/>
      <c r="AJ101" s="191"/>
      <c r="AK101" s="191"/>
      <c r="AL101" s="191"/>
      <c r="AM101" s="191"/>
      <c r="AN101" s="191"/>
      <c r="AO101" s="191"/>
      <c r="AP101" s="191"/>
      <c r="AQ101" s="191"/>
      <c r="AR101" s="191"/>
      <c r="AS101" s="191"/>
      <c r="AT101" s="191"/>
      <c r="AU101" s="191"/>
      <c r="AV101" s="191"/>
      <c r="AW101" s="191"/>
      <c r="AX101" s="191"/>
      <c r="AY101" s="191"/>
      <c r="AZ101" s="191"/>
      <c r="BA101" s="191"/>
      <c r="BB101" s="191"/>
      <c r="BC101" s="191"/>
      <c r="BD101" s="191"/>
      <c r="BE101" s="191"/>
      <c r="BF101" s="191"/>
      <c r="BG101" s="191"/>
      <c r="BH101" s="191"/>
      <c r="BI101" s="191"/>
      <c r="BJ101" s="191"/>
      <c r="BK101" s="191"/>
      <c r="BL101" s="191"/>
      <c r="BM101" s="191"/>
    </row>
    <row r="102" spans="1:65">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1"/>
      <c r="AT102" s="191"/>
      <c r="AU102" s="191"/>
      <c r="AV102" s="191"/>
      <c r="AW102" s="191"/>
      <c r="AX102" s="191"/>
      <c r="AY102" s="191"/>
      <c r="AZ102" s="191"/>
      <c r="BA102" s="191"/>
      <c r="BB102" s="191"/>
      <c r="BC102" s="191"/>
      <c r="BD102" s="191"/>
      <c r="BE102" s="191"/>
      <c r="BF102" s="191"/>
      <c r="BG102" s="191"/>
      <c r="BH102" s="191"/>
      <c r="BI102" s="191"/>
      <c r="BJ102" s="191"/>
      <c r="BK102" s="191"/>
      <c r="BL102" s="191"/>
      <c r="BM102" s="191"/>
    </row>
    <row r="103" spans="1:65">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c r="AN103" s="191"/>
      <c r="AO103" s="191"/>
      <c r="AP103" s="191"/>
      <c r="AQ103" s="191"/>
      <c r="AR103" s="191"/>
      <c r="AS103" s="191"/>
      <c r="AT103" s="191"/>
      <c r="AU103" s="191"/>
      <c r="AV103" s="191"/>
      <c r="AW103" s="191"/>
      <c r="AX103" s="191"/>
      <c r="AY103" s="191"/>
      <c r="AZ103" s="191"/>
      <c r="BA103" s="191"/>
      <c r="BB103" s="191"/>
      <c r="BC103" s="191"/>
      <c r="BD103" s="191"/>
      <c r="BE103" s="191"/>
      <c r="BF103" s="191"/>
      <c r="BG103" s="191"/>
      <c r="BH103" s="191"/>
      <c r="BI103" s="191"/>
      <c r="BJ103" s="191"/>
      <c r="BK103" s="191"/>
      <c r="BL103" s="191"/>
      <c r="BM103" s="191"/>
    </row>
    <row r="104" spans="1:65">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c r="AN104" s="191"/>
      <c r="AO104" s="191"/>
      <c r="AP104" s="191"/>
      <c r="AQ104" s="191"/>
      <c r="AR104" s="191"/>
      <c r="AS104" s="191"/>
      <c r="AT104" s="191"/>
      <c r="AU104" s="191"/>
      <c r="AV104" s="191"/>
      <c r="AW104" s="191"/>
      <c r="AX104" s="191"/>
      <c r="AY104" s="191"/>
      <c r="AZ104" s="191"/>
      <c r="BA104" s="191"/>
      <c r="BB104" s="191"/>
      <c r="BC104" s="191"/>
      <c r="BD104" s="191"/>
      <c r="BE104" s="191"/>
      <c r="BF104" s="191"/>
      <c r="BG104" s="191"/>
      <c r="BH104" s="191"/>
      <c r="BI104" s="191"/>
      <c r="BJ104" s="191"/>
      <c r="BK104" s="191"/>
      <c r="BL104" s="191"/>
      <c r="BM104" s="191"/>
    </row>
    <row r="105" spans="1:65">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91"/>
      <c r="AJ105" s="191"/>
      <c r="AK105" s="191"/>
      <c r="AL105" s="191"/>
      <c r="AM105" s="191"/>
      <c r="AN105" s="191"/>
      <c r="AO105" s="191"/>
      <c r="AP105" s="191"/>
      <c r="AQ105" s="191"/>
      <c r="AR105" s="191"/>
      <c r="AS105" s="191"/>
      <c r="AT105" s="191"/>
      <c r="AU105" s="191"/>
      <c r="AV105" s="191"/>
      <c r="AW105" s="191"/>
      <c r="AX105" s="191"/>
      <c r="AY105" s="191"/>
      <c r="AZ105" s="191"/>
      <c r="BA105" s="191"/>
      <c r="BB105" s="191"/>
      <c r="BC105" s="191"/>
      <c r="BD105" s="191"/>
      <c r="BE105" s="191"/>
      <c r="BF105" s="191"/>
      <c r="BG105" s="191"/>
      <c r="BH105" s="191"/>
      <c r="BI105" s="191"/>
      <c r="BJ105" s="191"/>
      <c r="BK105" s="191"/>
      <c r="BL105" s="191"/>
      <c r="BM105" s="191"/>
    </row>
    <row r="106" spans="1:65">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1"/>
      <c r="AT106" s="191"/>
      <c r="AU106" s="191"/>
      <c r="AV106" s="191"/>
      <c r="AW106" s="191"/>
      <c r="AX106" s="191"/>
      <c r="AY106" s="191"/>
      <c r="AZ106" s="191"/>
      <c r="BA106" s="191"/>
      <c r="BB106" s="191"/>
      <c r="BC106" s="191"/>
      <c r="BD106" s="191"/>
      <c r="BE106" s="191"/>
      <c r="BF106" s="191"/>
      <c r="BG106" s="191"/>
      <c r="BH106" s="191"/>
      <c r="BI106" s="191"/>
      <c r="BJ106" s="191"/>
      <c r="BK106" s="191"/>
      <c r="BL106" s="191"/>
      <c r="BM106" s="191"/>
    </row>
    <row r="107" spans="1:65">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1"/>
      <c r="AV107" s="191"/>
      <c r="AW107" s="191"/>
      <c r="AX107" s="191"/>
      <c r="AY107" s="191"/>
      <c r="AZ107" s="191"/>
      <c r="BA107" s="191"/>
      <c r="BB107" s="191"/>
      <c r="BC107" s="191"/>
      <c r="BD107" s="191"/>
      <c r="BE107" s="191"/>
      <c r="BF107" s="191"/>
      <c r="BG107" s="191"/>
      <c r="BH107" s="191"/>
      <c r="BI107" s="191"/>
      <c r="BJ107" s="191"/>
      <c r="BK107" s="191"/>
      <c r="BL107" s="191"/>
      <c r="BM107" s="191"/>
    </row>
    <row r="108" spans="1:65">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191"/>
      <c r="AJ108" s="191"/>
      <c r="AK108" s="191"/>
      <c r="AL108" s="191"/>
      <c r="AM108" s="191"/>
      <c r="AN108" s="191"/>
      <c r="AO108" s="191"/>
      <c r="AP108" s="191"/>
      <c r="AQ108" s="191"/>
      <c r="AR108" s="191"/>
      <c r="AS108" s="191"/>
      <c r="AT108" s="191"/>
      <c r="AU108" s="191"/>
      <c r="AV108" s="191"/>
      <c r="AW108" s="191"/>
      <c r="AX108" s="191"/>
      <c r="AY108" s="191"/>
      <c r="AZ108" s="191"/>
      <c r="BA108" s="191"/>
      <c r="BB108" s="191"/>
      <c r="BC108" s="191"/>
      <c r="BD108" s="191"/>
      <c r="BE108" s="191"/>
      <c r="BF108" s="191"/>
      <c r="BG108" s="191"/>
      <c r="BH108" s="191"/>
      <c r="BI108" s="191"/>
      <c r="BJ108" s="191"/>
      <c r="BK108" s="191"/>
      <c r="BL108" s="191"/>
      <c r="BM108" s="191"/>
    </row>
    <row r="109" spans="1:65">
      <c r="H109" s="3"/>
      <c r="I109" s="3"/>
      <c r="J109" s="3"/>
      <c r="K109" s="3"/>
      <c r="O109" s="3"/>
      <c r="P109" s="3"/>
      <c r="Q109" s="3"/>
      <c r="R109" s="3"/>
      <c r="S109" s="3"/>
      <c r="T109" s="3"/>
      <c r="X109" s="3"/>
      <c r="Y109" s="3"/>
      <c r="Z109" s="3"/>
      <c r="AA109" s="3"/>
      <c r="AB109" s="3"/>
      <c r="AC109" s="3"/>
      <c r="AD109" s="3"/>
      <c r="AE109" s="3"/>
    </row>
    <row r="110" spans="1:65">
      <c r="H110" s="3"/>
      <c r="I110" s="3"/>
      <c r="J110" s="3"/>
      <c r="K110" s="3"/>
      <c r="O110" s="3"/>
      <c r="P110" s="3"/>
      <c r="Q110" s="3"/>
      <c r="R110" s="3"/>
      <c r="S110" s="3"/>
      <c r="T110" s="3"/>
      <c r="X110" s="3"/>
      <c r="Y110" s="3"/>
      <c r="Z110" s="3"/>
      <c r="AA110" s="3"/>
      <c r="AB110" s="3"/>
      <c r="AC110" s="3"/>
      <c r="AD110" s="3"/>
      <c r="AE110" s="3"/>
    </row>
    <row r="111" spans="1:65">
      <c r="H111" s="3"/>
      <c r="I111" s="3"/>
      <c r="J111" s="3"/>
      <c r="K111" s="3"/>
      <c r="O111" s="3"/>
      <c r="P111" s="3"/>
      <c r="Q111" s="3"/>
      <c r="R111" s="3"/>
      <c r="S111" s="3"/>
      <c r="T111" s="3"/>
      <c r="X111" s="3"/>
      <c r="Y111" s="3"/>
      <c r="Z111" s="3"/>
      <c r="AA111" s="3"/>
      <c r="AB111" s="3"/>
      <c r="AC111" s="3"/>
      <c r="AD111" s="3"/>
      <c r="AE111" s="3"/>
    </row>
    <row r="112" spans="1:65">
      <c r="H112" s="3"/>
      <c r="I112" s="3"/>
      <c r="J112" s="3"/>
      <c r="K112" s="3"/>
      <c r="O112" s="3"/>
      <c r="P112" s="3"/>
      <c r="Q112" s="3"/>
      <c r="R112" s="3"/>
      <c r="S112" s="3"/>
      <c r="T112" s="3"/>
      <c r="X112" s="3"/>
      <c r="Y112" s="3"/>
      <c r="Z112" s="3"/>
      <c r="AA112" s="3"/>
      <c r="AB112" s="3"/>
      <c r="AC112" s="3"/>
      <c r="AD112" s="3"/>
      <c r="AE112" s="3"/>
    </row>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3" customFormat="1"/>
    <row r="178" s="3" customFormat="1"/>
    <row r="179" s="3" customFormat="1"/>
    <row r="180" s="3" customFormat="1"/>
    <row r="181" s="3" customFormat="1"/>
    <row r="182" s="3" customFormat="1"/>
    <row r="183" s="3" customFormat="1"/>
    <row r="184" s="3" customFormat="1"/>
    <row r="185" s="3" customFormat="1"/>
    <row r="186" s="3" customFormat="1"/>
    <row r="187" s="3" customFormat="1"/>
    <row r="188" s="3" customFormat="1"/>
    <row r="189" s="3" customFormat="1"/>
    <row r="190" s="3" customFormat="1"/>
    <row r="191" s="3" customFormat="1"/>
    <row r="192" s="3" customFormat="1"/>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3" customFormat="1"/>
    <row r="205" s="3" customFormat="1"/>
    <row r="206" s="3" customFormat="1"/>
    <row r="207" s="3" customFormat="1"/>
    <row r="208" s="3" customFormat="1"/>
    <row r="209" s="3" customFormat="1"/>
    <row r="210" s="3" customFormat="1"/>
    <row r="211" s="3" customFormat="1"/>
    <row r="212" s="3" customFormat="1"/>
    <row r="213" s="3" customFormat="1"/>
    <row r="214" s="3" customFormat="1"/>
    <row r="215" s="3" customFormat="1"/>
    <row r="216" s="3" customFormat="1"/>
    <row r="217" s="3" customFormat="1"/>
    <row r="218" s="3" customFormat="1"/>
    <row r="219" s="3" customFormat="1"/>
    <row r="220" s="3" customFormat="1"/>
    <row r="221" s="3" customFormat="1"/>
    <row r="222" s="3" customFormat="1"/>
    <row r="223" s="3" customFormat="1"/>
    <row r="224" s="3" customFormat="1"/>
    <row r="225" s="3" customFormat="1"/>
    <row r="226" s="3" customFormat="1"/>
    <row r="227" s="3" customFormat="1"/>
    <row r="228" s="3" customFormat="1"/>
    <row r="229" s="3" customFormat="1"/>
    <row r="230" s="3" customFormat="1"/>
    <row r="231" s="3" customFormat="1"/>
    <row r="232" s="3" customFormat="1"/>
    <row r="233" s="3" customFormat="1"/>
    <row r="234" s="3" customFormat="1"/>
    <row r="235" s="3" customFormat="1"/>
    <row r="236" s="3" customFormat="1"/>
    <row r="237" s="3" customFormat="1"/>
    <row r="238" s="3" customFormat="1"/>
    <row r="239" s="3" customFormat="1"/>
    <row r="240" s="3" customFormat="1"/>
    <row r="241" s="3" customFormat="1"/>
    <row r="242" s="3" customFormat="1"/>
    <row r="243" s="3" customFormat="1"/>
    <row r="244" s="3" customFormat="1"/>
    <row r="245" s="3" customFormat="1"/>
    <row r="246" s="3" customFormat="1"/>
    <row r="247" s="3" customFormat="1"/>
    <row r="248" s="3" customFormat="1"/>
    <row r="249" s="3" customFormat="1"/>
    <row r="250" s="3" customFormat="1"/>
    <row r="251" s="3" customFormat="1"/>
    <row r="252" s="3" customFormat="1"/>
    <row r="253" s="3" customFormat="1"/>
    <row r="254" s="3" customFormat="1"/>
    <row r="255" s="3" customFormat="1"/>
    <row r="256" s="3" customFormat="1"/>
    <row r="257" s="3" customFormat="1"/>
    <row r="258" s="3" customFormat="1"/>
    <row r="259" s="3" customFormat="1"/>
    <row r="260" s="3" customFormat="1"/>
    <row r="261" s="3" customFormat="1"/>
    <row r="262" s="3" customFormat="1"/>
    <row r="263" s="3" customFormat="1"/>
    <row r="264" s="3" customFormat="1"/>
    <row r="265" s="3" customFormat="1"/>
    <row r="266" s="3" customFormat="1"/>
    <row r="267" s="3" customFormat="1"/>
    <row r="268" s="3" customFormat="1"/>
    <row r="269" s="3" customFormat="1"/>
    <row r="270" s="3" customFormat="1"/>
    <row r="271" s="3" customFormat="1"/>
    <row r="272" s="3" customFormat="1"/>
    <row r="273" s="3" customFormat="1"/>
    <row r="274" s="3" customFormat="1"/>
    <row r="275" s="3" customFormat="1"/>
    <row r="276" s="3" customFormat="1"/>
    <row r="277" s="3" customFormat="1"/>
    <row r="278" s="3" customFormat="1"/>
    <row r="279" s="3" customFormat="1"/>
    <row r="280" s="3" customFormat="1"/>
    <row r="281" s="3" customFormat="1"/>
    <row r="282" s="3" customFormat="1"/>
    <row r="283" s="3" customFormat="1"/>
    <row r="284" s="3" customFormat="1"/>
    <row r="285" s="3" customFormat="1"/>
    <row r="286" s="3" customFormat="1"/>
    <row r="287" s="3" customFormat="1"/>
    <row r="288" s="3" customFormat="1"/>
    <row r="289" s="3" customFormat="1"/>
    <row r="290" s="3" customFormat="1"/>
    <row r="291" s="3" customFormat="1"/>
    <row r="292" s="3" customFormat="1"/>
    <row r="293" s="3" customFormat="1"/>
    <row r="294" s="3" customFormat="1"/>
    <row r="295" s="3" customFormat="1"/>
    <row r="296" s="3" customFormat="1"/>
    <row r="297" s="3" customFormat="1"/>
    <row r="298" s="3" customFormat="1"/>
    <row r="299" s="3" customFormat="1"/>
    <row r="300" s="3" customFormat="1"/>
    <row r="301" s="3" customFormat="1"/>
    <row r="302" s="3" customFormat="1"/>
    <row r="303" s="3" customFormat="1"/>
    <row r="304" s="3" customFormat="1"/>
    <row r="305" s="3" customFormat="1"/>
    <row r="306" s="3" customFormat="1"/>
    <row r="307" s="3" customFormat="1"/>
    <row r="308" s="3" customFormat="1"/>
    <row r="309" s="3" customFormat="1"/>
    <row r="310" s="3" customFormat="1"/>
    <row r="311" s="3" customFormat="1"/>
    <row r="312" s="3" customFormat="1"/>
    <row r="313" s="3" customFormat="1"/>
    <row r="314" s="3" customFormat="1"/>
    <row r="315" s="3" customFormat="1"/>
    <row r="316" s="3" customFormat="1"/>
    <row r="317" s="3" customFormat="1"/>
    <row r="318" s="3" customFormat="1"/>
    <row r="319" s="3" customFormat="1"/>
    <row r="320" s="3" customFormat="1"/>
    <row r="321" s="3" customFormat="1"/>
    <row r="322" s="3" customFormat="1"/>
    <row r="323" s="3" customFormat="1"/>
    <row r="324" s="3" customFormat="1"/>
    <row r="325" s="3" customFormat="1"/>
    <row r="326" s="3" customFormat="1"/>
    <row r="327" s="3" customFormat="1"/>
    <row r="328" s="3" customFormat="1"/>
    <row r="329" s="3" customFormat="1"/>
    <row r="330" s="3" customFormat="1"/>
    <row r="331" s="3" customFormat="1"/>
    <row r="332" s="3" customFormat="1"/>
    <row r="333" s="3" customFormat="1"/>
    <row r="334" s="3" customFormat="1"/>
    <row r="335" s="3" customFormat="1"/>
    <row r="336" s="3" customFormat="1"/>
    <row r="337" s="3" customFormat="1"/>
    <row r="338" s="3" customFormat="1"/>
    <row r="339" s="3" customFormat="1"/>
    <row r="340" s="3" customFormat="1"/>
    <row r="341" s="3" customFormat="1"/>
    <row r="342" s="3" customFormat="1"/>
    <row r="343" s="3" customFormat="1"/>
    <row r="344" s="3" customFormat="1"/>
    <row r="345" s="3" customFormat="1"/>
    <row r="346" s="3" customFormat="1"/>
    <row r="347" s="3" customFormat="1"/>
    <row r="348" s="3" customFormat="1"/>
    <row r="349" s="3" customFormat="1"/>
    <row r="350" s="3" customFormat="1"/>
    <row r="351" s="3" customFormat="1"/>
    <row r="352" s="3" customFormat="1"/>
    <row r="353" s="3" customFormat="1"/>
    <row r="354" s="3" customFormat="1"/>
    <row r="355" s="3" customFormat="1"/>
    <row r="356" s="3" customFormat="1"/>
    <row r="357" s="3" customFormat="1"/>
    <row r="358" s="3" customFormat="1"/>
    <row r="359" s="3" customFormat="1"/>
    <row r="360" s="3" customFormat="1"/>
    <row r="361" s="3" customFormat="1"/>
    <row r="362" s="3" customFormat="1"/>
    <row r="363" s="3" customFormat="1"/>
    <row r="364" s="3" customFormat="1"/>
    <row r="365" s="3" customFormat="1"/>
    <row r="366" s="3" customFormat="1"/>
    <row r="367" s="3" customFormat="1"/>
    <row r="368" s="3" customFormat="1"/>
    <row r="369" s="3" customFormat="1"/>
    <row r="370" s="3" customFormat="1"/>
    <row r="371" s="3" customFormat="1"/>
    <row r="372" s="3" customFormat="1"/>
    <row r="373" s="3" customFormat="1"/>
    <row r="374" s="3" customFormat="1"/>
    <row r="375" s="3" customFormat="1"/>
    <row r="376" s="3" customFormat="1"/>
    <row r="377" s="3" customFormat="1"/>
    <row r="378" s="3" customFormat="1"/>
    <row r="379" s="3" customFormat="1"/>
    <row r="380" s="3" customFormat="1"/>
    <row r="381" s="3" customFormat="1"/>
    <row r="382" s="3" customFormat="1"/>
    <row r="383" s="3" customFormat="1"/>
    <row r="384" s="3" customFormat="1"/>
    <row r="385" s="3" customFormat="1"/>
    <row r="386" s="3" customFormat="1"/>
    <row r="387" s="3" customFormat="1"/>
    <row r="388" s="3" customFormat="1"/>
    <row r="389" s="3" customFormat="1"/>
    <row r="390" s="3" customFormat="1"/>
    <row r="391" s="3" customFormat="1"/>
    <row r="392" s="3" customFormat="1"/>
    <row r="393" s="3" customFormat="1"/>
    <row r="394" s="3" customFormat="1"/>
    <row r="395" s="3" customFormat="1"/>
    <row r="396" s="3" customFormat="1"/>
    <row r="397" s="3" customFormat="1"/>
    <row r="398" s="3" customFormat="1"/>
    <row r="399" s="3" customFormat="1"/>
    <row r="400" s="3" customFormat="1"/>
    <row r="401" s="3" customFormat="1"/>
    <row r="402" s="3" customFormat="1"/>
    <row r="403" s="3" customFormat="1"/>
    <row r="404" s="3" customFormat="1"/>
    <row r="405" s="3" customFormat="1"/>
    <row r="406" s="3" customFormat="1"/>
    <row r="407" s="3" customFormat="1"/>
    <row r="408" s="3" customFormat="1"/>
    <row r="409" s="3" customFormat="1"/>
    <row r="410" s="3" customFormat="1"/>
    <row r="411" s="3" customFormat="1"/>
    <row r="412" s="3" customFormat="1"/>
    <row r="413" s="3" customFormat="1"/>
    <row r="414" s="3" customFormat="1"/>
    <row r="415" s="3" customFormat="1"/>
    <row r="416" s="3" customFormat="1"/>
    <row r="417" s="3" customFormat="1"/>
    <row r="418" s="3" customFormat="1"/>
    <row r="419" s="3" customFormat="1"/>
    <row r="420" s="3" customFormat="1"/>
    <row r="421" s="3" customFormat="1"/>
    <row r="422" s="3" customFormat="1"/>
    <row r="423" s="3" customFormat="1"/>
    <row r="424" s="3" customFormat="1"/>
    <row r="425" s="3" customFormat="1"/>
    <row r="426" s="3" customFormat="1"/>
    <row r="427" s="3" customFormat="1"/>
    <row r="428" s="3" customFormat="1"/>
    <row r="429" s="3" customFormat="1"/>
    <row r="430" s="3" customFormat="1"/>
    <row r="431" s="3" customFormat="1"/>
    <row r="432" s="3" customFormat="1"/>
    <row r="433" s="3" customFormat="1"/>
    <row r="434" s="3" customFormat="1"/>
    <row r="435" s="3" customFormat="1"/>
    <row r="436" s="3" customFormat="1"/>
    <row r="437" s="3" customFormat="1"/>
    <row r="438" s="3" customFormat="1"/>
    <row r="439" s="3" customFormat="1"/>
    <row r="440" s="3" customFormat="1"/>
    <row r="441" s="3" customFormat="1"/>
    <row r="442" s="3" customFormat="1"/>
    <row r="443" s="3" customFormat="1"/>
    <row r="444" s="3" customFormat="1"/>
    <row r="445" s="3" customFormat="1"/>
    <row r="446" s="3" customFormat="1"/>
    <row r="447" s="3" customFormat="1"/>
    <row r="448" s="3" customFormat="1"/>
    <row r="449" s="3" customFormat="1"/>
    <row r="450" s="3" customFormat="1"/>
    <row r="451" s="3" customFormat="1"/>
    <row r="452" s="3" customFormat="1"/>
    <row r="453" s="3" customFormat="1"/>
    <row r="454" s="3" customFormat="1"/>
    <row r="455" s="3" customFormat="1"/>
    <row r="456" s="3" customFormat="1"/>
    <row r="457" s="3" customFormat="1"/>
    <row r="458" s="3" customFormat="1"/>
    <row r="459" s="3" customFormat="1"/>
    <row r="460" s="3" customFormat="1"/>
    <row r="461" s="3" customFormat="1"/>
    <row r="462" s="3" customFormat="1"/>
    <row r="463" s="3" customFormat="1"/>
    <row r="464" s="3" customFormat="1"/>
    <row r="465" s="3" customFormat="1"/>
    <row r="466" s="3" customFormat="1"/>
    <row r="467" s="3" customFormat="1"/>
    <row r="468" s="3" customFormat="1"/>
    <row r="469" s="3" customFormat="1"/>
    <row r="470" s="3" customFormat="1"/>
    <row r="471" s="3" customFormat="1"/>
    <row r="472" s="3" customFormat="1"/>
    <row r="473" s="3" customFormat="1"/>
    <row r="474" s="3" customFormat="1"/>
    <row r="475" s="3" customFormat="1"/>
    <row r="476" s="3" customFormat="1"/>
    <row r="477" s="3" customFormat="1"/>
    <row r="478" s="3" customFormat="1"/>
    <row r="479" s="3" customFormat="1"/>
    <row r="480" s="3" customFormat="1"/>
    <row r="481" s="3" customFormat="1"/>
    <row r="482" s="3" customFormat="1"/>
    <row r="483" s="3" customFormat="1"/>
    <row r="484" s="3" customFormat="1"/>
    <row r="485" s="3" customFormat="1"/>
    <row r="486" s="3" customFormat="1"/>
    <row r="487" s="3" customFormat="1"/>
    <row r="488" s="3" customFormat="1"/>
    <row r="489" s="3" customFormat="1"/>
    <row r="490" s="3" customFormat="1"/>
    <row r="491" s="3" customFormat="1"/>
    <row r="492" s="3" customFormat="1"/>
    <row r="493" s="3" customFormat="1"/>
    <row r="494" s="3" customFormat="1"/>
    <row r="495" s="3" customFormat="1"/>
    <row r="496" s="3" customFormat="1"/>
    <row r="497" s="3" customFormat="1"/>
    <row r="498" s="3" customFormat="1"/>
    <row r="499" s="3" customFormat="1"/>
    <row r="500" s="3" customFormat="1"/>
    <row r="501" s="3" customFormat="1"/>
    <row r="502" s="3" customFormat="1"/>
    <row r="503" s="3" customFormat="1"/>
    <row r="504" s="3" customFormat="1"/>
    <row r="505" s="3" customFormat="1"/>
    <row r="506" s="3" customFormat="1"/>
    <row r="507" s="3" customFormat="1"/>
    <row r="508" s="3" customFormat="1"/>
    <row r="509" s="3" customFormat="1"/>
    <row r="510" s="3" customFormat="1"/>
    <row r="511" s="3" customFormat="1"/>
    <row r="512" s="3" customFormat="1"/>
    <row r="513" s="3" customFormat="1"/>
    <row r="514" s="3" customFormat="1"/>
    <row r="515" s="3" customFormat="1"/>
    <row r="516" s="3" customFormat="1"/>
    <row r="517" s="3" customFormat="1"/>
    <row r="518" s="3" customFormat="1"/>
    <row r="519" s="3" customFormat="1"/>
    <row r="520" s="3" customFormat="1"/>
    <row r="521" s="3" customFormat="1"/>
    <row r="522" s="3" customFormat="1"/>
    <row r="523" s="3" customFormat="1"/>
    <row r="524" s="3" customFormat="1"/>
    <row r="525" s="3" customFormat="1"/>
    <row r="526" s="3" customFormat="1"/>
    <row r="527" s="3" customFormat="1"/>
    <row r="528" s="3" customFormat="1"/>
    <row r="529" s="3" customFormat="1"/>
    <row r="530" s="3" customFormat="1"/>
    <row r="531" s="3" customFormat="1"/>
    <row r="532" s="3" customFormat="1"/>
    <row r="533" s="3" customFormat="1"/>
    <row r="534" s="3" customFormat="1"/>
    <row r="535" s="3" customFormat="1"/>
    <row r="536" s="3" customFormat="1"/>
    <row r="537" s="3" customFormat="1"/>
    <row r="538" s="3" customFormat="1"/>
    <row r="539" s="3" customFormat="1"/>
    <row r="540" s="3" customFormat="1"/>
    <row r="541" s="3" customFormat="1"/>
    <row r="542" s="3" customFormat="1"/>
    <row r="543" s="3" customFormat="1"/>
    <row r="544" s="3" customFormat="1"/>
    <row r="545" s="3" customFormat="1"/>
    <row r="546" s="3" customFormat="1"/>
    <row r="547" s="3" customFormat="1"/>
    <row r="548" s="3" customFormat="1"/>
    <row r="549" s="3" customFormat="1"/>
    <row r="550" s="3" customFormat="1"/>
    <row r="551" s="3" customFormat="1"/>
    <row r="552" s="3" customFormat="1"/>
    <row r="553" s="3" customFormat="1"/>
    <row r="554" s="3" customFormat="1"/>
    <row r="555" s="3" customFormat="1"/>
    <row r="556" s="3" customFormat="1"/>
    <row r="557" s="3" customFormat="1"/>
    <row r="558" s="3" customFormat="1"/>
    <row r="559" s="3" customFormat="1"/>
    <row r="560" s="3" customFormat="1"/>
    <row r="561" s="3" customFormat="1"/>
    <row r="562" s="3" customFormat="1"/>
    <row r="563" s="3" customFormat="1"/>
    <row r="564" s="3" customFormat="1"/>
    <row r="565" s="3" customFormat="1"/>
    <row r="566" s="3" customFormat="1"/>
    <row r="567" s="3" customFormat="1"/>
    <row r="568" s="3" customFormat="1"/>
    <row r="569" s="3" customFormat="1"/>
    <row r="570" s="3" customFormat="1"/>
    <row r="571" s="3" customFormat="1"/>
    <row r="572" s="3" customFormat="1"/>
    <row r="573" s="3" customFormat="1"/>
    <row r="574" s="3" customFormat="1"/>
    <row r="575" s="3" customFormat="1"/>
    <row r="576" s="3" customFormat="1"/>
    <row r="577" s="3" customFormat="1"/>
    <row r="578" s="3" customFormat="1"/>
    <row r="579" s="3" customFormat="1"/>
    <row r="580" s="3" customFormat="1"/>
    <row r="581" s="3" customFormat="1"/>
    <row r="582" s="3" customFormat="1"/>
    <row r="583" s="3" customFormat="1"/>
    <row r="584" s="3" customFormat="1"/>
    <row r="585" s="3" customFormat="1"/>
    <row r="586" s="3" customFormat="1"/>
    <row r="587" s="3" customFormat="1"/>
    <row r="588" s="3" customFormat="1"/>
    <row r="589" s="3" customFormat="1"/>
    <row r="590" s="3" customFormat="1"/>
    <row r="591" s="3" customFormat="1"/>
    <row r="592" s="3" customFormat="1"/>
    <row r="593" s="3" customFormat="1"/>
    <row r="594" s="3" customFormat="1"/>
    <row r="595" s="3" customFormat="1"/>
    <row r="596" s="3" customFormat="1"/>
    <row r="597" s="3" customFormat="1"/>
    <row r="598" s="3" customFormat="1"/>
    <row r="599" s="3" customFormat="1"/>
    <row r="600" s="3" customFormat="1"/>
    <row r="601" s="3" customFormat="1"/>
    <row r="602" s="3" customFormat="1"/>
    <row r="603" s="3" customFormat="1"/>
    <row r="604" s="3" customFormat="1"/>
    <row r="605" s="3" customFormat="1"/>
    <row r="606" s="3" customFormat="1"/>
    <row r="607" s="3" customFormat="1"/>
    <row r="608" s="3" customFormat="1"/>
    <row r="609" s="3" customFormat="1"/>
    <row r="610" s="3" customFormat="1"/>
    <row r="611" s="3" customFormat="1"/>
    <row r="612" s="3" customFormat="1"/>
    <row r="613" s="3" customFormat="1"/>
    <row r="614" s="3" customFormat="1"/>
    <row r="615" s="3" customFormat="1"/>
    <row r="616" s="3" customFormat="1"/>
    <row r="617" s="3" customFormat="1"/>
    <row r="618" s="3" customFormat="1"/>
    <row r="619" s="3" customFormat="1"/>
    <row r="620" s="3" customFormat="1"/>
    <row r="621" s="3" customFormat="1"/>
    <row r="622" s="3" customFormat="1"/>
    <row r="623" s="3" customFormat="1"/>
    <row r="624" s="3" customFormat="1"/>
    <row r="625" s="3" customFormat="1"/>
    <row r="626" s="3" customFormat="1"/>
    <row r="627" s="3" customFormat="1"/>
    <row r="628" s="3" customFormat="1"/>
    <row r="629" s="3" customFormat="1"/>
    <row r="630" s="3" customFormat="1"/>
    <row r="631" s="3" customFormat="1"/>
    <row r="632" s="3" customFormat="1"/>
    <row r="633" s="3" customFormat="1"/>
    <row r="634" s="3" customFormat="1"/>
    <row r="635" s="3" customFormat="1"/>
    <row r="636" s="3" customFormat="1"/>
    <row r="637" s="3" customFormat="1"/>
    <row r="638" s="3" customFormat="1"/>
    <row r="639" s="3" customFormat="1"/>
    <row r="640" s="3" customFormat="1"/>
    <row r="641" s="3" customFormat="1"/>
    <row r="642" s="3" customFormat="1"/>
    <row r="643" s="3" customFormat="1"/>
    <row r="644" s="3" customFormat="1"/>
    <row r="645" s="3" customFormat="1"/>
    <row r="646" s="3" customFormat="1"/>
    <row r="647" s="3" customFormat="1"/>
    <row r="648" s="3" customFormat="1"/>
    <row r="649" s="3" customFormat="1"/>
    <row r="650" s="3" customFormat="1"/>
    <row r="651" s="3" customFormat="1"/>
    <row r="652" s="3" customFormat="1"/>
    <row r="653" s="3" customFormat="1"/>
    <row r="654" s="3" customFormat="1"/>
    <row r="655" s="3" customFormat="1"/>
    <row r="656" s="3" customFormat="1"/>
    <row r="657" s="3" customFormat="1"/>
    <row r="658" s="3" customFormat="1"/>
    <row r="659" s="3" customFormat="1"/>
    <row r="660" s="3" customFormat="1"/>
    <row r="661" s="3" customFormat="1"/>
    <row r="662" s="3" customFormat="1"/>
    <row r="663" s="3" customFormat="1"/>
    <row r="664" s="3" customFormat="1"/>
    <row r="665" s="3" customFormat="1"/>
    <row r="666" s="3" customFormat="1"/>
    <row r="667" s="3" customFormat="1"/>
    <row r="668" s="3" customFormat="1"/>
    <row r="669" s="3" customFormat="1"/>
    <row r="670" s="3" customFormat="1"/>
    <row r="671" s="3" customFormat="1"/>
    <row r="672" s="3" customFormat="1"/>
    <row r="673" s="3" customFormat="1"/>
    <row r="674" s="3" customFormat="1"/>
    <row r="675" s="3" customFormat="1"/>
    <row r="676" s="3" customFormat="1"/>
    <row r="677" s="3" customFormat="1"/>
    <row r="678" s="3" customFormat="1"/>
    <row r="679" s="3" customFormat="1"/>
    <row r="680" s="3" customFormat="1"/>
    <row r="681" s="3" customFormat="1"/>
    <row r="682" s="3" customFormat="1"/>
    <row r="683" s="3" customFormat="1"/>
    <row r="684" s="3" customFormat="1"/>
    <row r="685" s="3" customFormat="1"/>
    <row r="686" s="3" customFormat="1"/>
    <row r="687" s="3" customFormat="1"/>
    <row r="688" s="3" customFormat="1"/>
    <row r="689" s="3" customFormat="1"/>
    <row r="690" s="3" customFormat="1"/>
    <row r="691" s="3" customFormat="1"/>
    <row r="692" s="3" customFormat="1"/>
    <row r="693" s="3" customFormat="1"/>
    <row r="694" s="3" customFormat="1"/>
    <row r="695" s="3" customFormat="1"/>
    <row r="696" s="3" customFormat="1"/>
    <row r="697" s="3" customFormat="1"/>
    <row r="698" s="3" customFormat="1"/>
    <row r="699" s="3" customFormat="1"/>
    <row r="700" s="3" customFormat="1"/>
    <row r="701" s="3" customFormat="1"/>
    <row r="702" s="3" customFormat="1"/>
    <row r="703" s="3" customFormat="1"/>
    <row r="704" s="3" customFormat="1"/>
    <row r="705" s="3" customFormat="1"/>
    <row r="706" s="3" customFormat="1"/>
    <row r="707" s="3" customFormat="1"/>
    <row r="708" s="3" customFormat="1"/>
    <row r="709" s="3" customFormat="1"/>
    <row r="710" s="3" customFormat="1"/>
    <row r="711" s="3" customFormat="1"/>
    <row r="712" s="3" customFormat="1"/>
    <row r="713" s="3" customFormat="1"/>
    <row r="714" s="3" customFormat="1"/>
    <row r="715" s="3" customFormat="1"/>
    <row r="716" s="3" customFormat="1"/>
    <row r="717" s="3" customFormat="1"/>
    <row r="718" s="3" customFormat="1"/>
    <row r="719" s="3" customFormat="1"/>
    <row r="720" s="3" customFormat="1"/>
    <row r="721" s="3" customFormat="1"/>
    <row r="722" s="3" customFormat="1"/>
    <row r="723" s="3" customFormat="1"/>
    <row r="724" s="3" customFormat="1"/>
    <row r="725" s="3" customFormat="1"/>
    <row r="726" s="3" customFormat="1"/>
    <row r="727" s="3" customFormat="1"/>
    <row r="728" s="3" customFormat="1"/>
    <row r="729" s="3" customFormat="1"/>
    <row r="730" s="3" customFormat="1"/>
    <row r="731" s="3" customFormat="1"/>
    <row r="732" s="3" customFormat="1"/>
    <row r="733" s="3" customFormat="1"/>
    <row r="734" s="3" customFormat="1"/>
    <row r="735" s="3" customFormat="1"/>
    <row r="736" s="3" customFormat="1"/>
    <row r="737" s="3" customFormat="1"/>
    <row r="738" s="3" customFormat="1"/>
    <row r="739" s="3" customFormat="1"/>
    <row r="740" s="3" customFormat="1"/>
    <row r="741" s="3" customFormat="1"/>
    <row r="742" s="3" customFormat="1"/>
    <row r="743" s="3" customFormat="1"/>
    <row r="744" s="3" customFormat="1"/>
    <row r="745" s="3" customFormat="1"/>
    <row r="746" s="3" customFormat="1"/>
    <row r="747" s="3" customFormat="1"/>
    <row r="748" s="3" customFormat="1"/>
    <row r="749" s="3" customFormat="1"/>
    <row r="750" s="3" customFormat="1"/>
    <row r="751" s="3" customFormat="1"/>
    <row r="752" s="3" customFormat="1"/>
    <row r="753" s="3" customFormat="1"/>
    <row r="754" s="3" customFormat="1"/>
    <row r="755" s="3" customFormat="1"/>
    <row r="756" s="3" customFormat="1"/>
    <row r="757" s="3" customFormat="1"/>
    <row r="758" s="3" customFormat="1"/>
    <row r="759" s="3" customFormat="1"/>
    <row r="760" s="3" customFormat="1"/>
    <row r="761" s="3" customFormat="1"/>
    <row r="762" s="3" customFormat="1"/>
    <row r="763" s="3" customFormat="1"/>
    <row r="764" s="3" customFormat="1"/>
    <row r="765" s="3" customFormat="1"/>
  </sheetData>
  <sheetProtection algorithmName="SHA-512" hashValue="y38FZBthCCIk0mg5xqrI38hI9jYU6V0XZo++aFKll6zSn7ZJ2Din5ZnuB/s5ReSozT+zn1AWdNfCyz0HTF+jGw==" saltValue="vI/3fbpSxJGza4qmbSTBUQ==" spinCount="100000" sheet="1" objects="1" scenarios="1"/>
  <protectedRanges>
    <protectedRange sqref="AF7:AF56" name="Steuerwirkung"/>
    <protectedRange sqref="M7:M56" name="Sondertilgung"/>
  </protectedRanges>
  <mergeCells count="2">
    <mergeCell ref="B2:AO2"/>
    <mergeCell ref="B3:AO3"/>
  </mergeCells>
  <phoneticPr fontId="6" type="noConversion"/>
  <conditionalFormatting sqref="B7:AO7 B8:AM39 AN8:AO56 B40:Y45 Z40:AM56 B46:Z56">
    <cfRule type="expression" dxfId="0" priority="1">
      <formula>"="</formula>
    </cfRule>
  </conditionalFormatting>
  <hyperlinks>
    <hyperlink ref="W58" location="'Eingabe Käuferdaten'!A1" display="Menü" xr:uid="{2280B19E-79BE-4120-8569-EC9B9C30602C}"/>
  </hyperlinks>
  <pageMargins left="0.59055118110236227" right="0.78740157480314965" top="0.19685039370078741" bottom="0.19685039370078741" header="0" footer="0.51181102362204722"/>
  <pageSetup paperSize="9" scale="69" orientation="landscape" horizontalDpi="4294967293"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3C369-4A69-41B1-8996-ADE9CB05D805}">
  <sheetPr codeName="Tabelle18">
    <pageSetUpPr fitToPage="1"/>
  </sheetPr>
  <dimension ref="A1:Z100"/>
  <sheetViews>
    <sheetView showGridLines="0" showRowColHeaders="0" topLeftCell="A13" zoomScaleNormal="100" workbookViewId="0">
      <selection activeCell="B39" sqref="B39:C39"/>
    </sheetView>
  </sheetViews>
  <sheetFormatPr baseColWidth="10" defaultColWidth="10.7265625" defaultRowHeight="12.5"/>
  <cols>
    <col min="1" max="1" width="8" customWidth="1"/>
    <col min="2" max="2" width="57.26953125" customWidth="1"/>
    <col min="3" max="3" width="27.453125" customWidth="1"/>
    <col min="4" max="4" width="12.81640625" bestFit="1" customWidth="1"/>
    <col min="5" max="5" width="6.26953125" bestFit="1" customWidth="1"/>
  </cols>
  <sheetData>
    <row r="1" spans="1:26">
      <c r="A1" s="99"/>
      <c r="B1" s="99"/>
      <c r="C1" s="99"/>
      <c r="D1" s="99"/>
      <c r="E1" s="99"/>
      <c r="F1" s="99"/>
      <c r="G1" s="99"/>
      <c r="H1" s="99"/>
      <c r="I1" s="99"/>
      <c r="J1" s="99"/>
      <c r="K1" s="99"/>
      <c r="L1" s="99"/>
      <c r="M1" s="99"/>
      <c r="N1" s="99"/>
      <c r="O1" s="99"/>
      <c r="P1" s="99"/>
      <c r="Q1" s="99"/>
      <c r="R1" s="99"/>
      <c r="S1" s="99"/>
      <c r="T1" s="99"/>
      <c r="U1" s="99"/>
      <c r="V1" s="99"/>
      <c r="W1" s="99"/>
      <c r="X1" s="99"/>
      <c r="Y1" s="99"/>
      <c r="Z1" s="99"/>
    </row>
    <row r="2" spans="1:26" ht="15.5">
      <c r="A2" s="195"/>
      <c r="B2" s="43" t="s">
        <v>68</v>
      </c>
      <c r="C2" s="7"/>
      <c r="D2" s="195"/>
      <c r="E2" s="99"/>
      <c r="F2" s="99"/>
      <c r="G2" s="99"/>
      <c r="H2" s="99"/>
      <c r="I2" s="99"/>
      <c r="J2" s="99"/>
      <c r="K2" s="99"/>
      <c r="L2" s="99"/>
      <c r="M2" s="99"/>
      <c r="N2" s="99"/>
      <c r="O2" s="99"/>
      <c r="P2" s="99"/>
      <c r="Q2" s="99"/>
      <c r="R2" s="99"/>
      <c r="S2" s="99"/>
      <c r="T2" s="99"/>
      <c r="U2" s="99"/>
      <c r="V2" s="99"/>
      <c r="W2" s="99"/>
      <c r="X2" s="99"/>
      <c r="Y2" s="99"/>
      <c r="Z2" s="99"/>
    </row>
    <row r="3" spans="1:26" ht="13" thickBot="1">
      <c r="A3" s="195"/>
      <c r="B3" s="196"/>
      <c r="C3" s="196"/>
      <c r="D3" s="195"/>
      <c r="E3" s="99"/>
      <c r="F3" s="99"/>
      <c r="G3" s="99"/>
      <c r="H3" s="99"/>
      <c r="I3" s="99"/>
      <c r="J3" s="99"/>
      <c r="K3" s="99"/>
      <c r="L3" s="99"/>
      <c r="M3" s="99"/>
      <c r="N3" s="99"/>
      <c r="O3" s="99"/>
      <c r="P3" s="99"/>
      <c r="Q3" s="99"/>
      <c r="R3" s="99"/>
      <c r="S3" s="99"/>
      <c r="T3" s="99"/>
      <c r="U3" s="99"/>
      <c r="V3" s="99"/>
      <c r="W3" s="99"/>
      <c r="X3" s="99"/>
      <c r="Y3" s="99"/>
      <c r="Z3" s="99"/>
    </row>
    <row r="4" spans="1:26" ht="16" thickBot="1">
      <c r="A4" s="5"/>
      <c r="B4" s="59" t="s">
        <v>101</v>
      </c>
      <c r="C4" s="66"/>
      <c r="D4" s="195"/>
      <c r="E4" s="99"/>
      <c r="F4" s="99"/>
      <c r="G4" s="99"/>
      <c r="H4" s="99"/>
      <c r="I4" s="99"/>
      <c r="J4" s="99"/>
      <c r="K4" s="99"/>
      <c r="L4" s="99"/>
      <c r="M4" s="99"/>
      <c r="N4" s="99"/>
      <c r="O4" s="99"/>
      <c r="P4" s="99"/>
      <c r="Q4" s="99"/>
      <c r="R4" s="99"/>
      <c r="S4" s="99"/>
      <c r="T4" s="99"/>
      <c r="U4" s="99"/>
      <c r="V4" s="99"/>
      <c r="W4" s="99"/>
      <c r="X4" s="99"/>
      <c r="Y4" s="99"/>
      <c r="Z4" s="99"/>
    </row>
    <row r="5" spans="1:26" ht="15.5">
      <c r="A5" s="195"/>
      <c r="B5" s="197"/>
      <c r="C5" s="198"/>
      <c r="D5" s="195"/>
      <c r="E5" s="99"/>
      <c r="F5" s="99"/>
      <c r="G5" s="99"/>
      <c r="H5" s="99"/>
      <c r="I5" s="99"/>
      <c r="J5" s="99"/>
      <c r="K5" s="99"/>
      <c r="L5" s="99"/>
      <c r="M5" s="99"/>
      <c r="N5" s="99"/>
      <c r="O5" s="99"/>
      <c r="P5" s="99"/>
      <c r="Q5" s="99"/>
      <c r="R5" s="99"/>
      <c r="S5" s="99"/>
      <c r="T5" s="99"/>
      <c r="U5" s="99"/>
      <c r="V5" s="99"/>
      <c r="W5" s="99"/>
      <c r="X5" s="99"/>
      <c r="Y5" s="99"/>
      <c r="Z5" s="99"/>
    </row>
    <row r="6" spans="1:26" ht="15.5">
      <c r="A6" s="195"/>
      <c r="B6" s="199" t="s">
        <v>0</v>
      </c>
      <c r="C6" s="200">
        <f>'Eingabe Immodaten'!C5</f>
        <v>250122</v>
      </c>
      <c r="D6" s="195"/>
      <c r="E6" s="99"/>
      <c r="F6" s="99"/>
      <c r="G6" s="99"/>
      <c r="H6" s="99"/>
      <c r="I6" s="99"/>
      <c r="J6" s="99"/>
      <c r="K6" s="99"/>
      <c r="L6" s="99"/>
      <c r="M6" s="99"/>
      <c r="N6" s="99"/>
      <c r="O6" s="99"/>
      <c r="P6" s="99"/>
      <c r="Q6" s="99"/>
      <c r="R6" s="99"/>
      <c r="S6" s="99"/>
      <c r="T6" s="99"/>
      <c r="U6" s="99"/>
      <c r="V6" s="99"/>
      <c r="W6" s="99"/>
      <c r="X6" s="99"/>
      <c r="Y6" s="99"/>
      <c r="Z6" s="99"/>
    </row>
    <row r="7" spans="1:26" ht="15.5">
      <c r="A7" s="195"/>
      <c r="B7" s="199" t="s">
        <v>69</v>
      </c>
      <c r="C7" s="200">
        <f>'Eingabe Immodaten'!C8</f>
        <v>18759.149999999998</v>
      </c>
      <c r="D7" s="195"/>
      <c r="E7" s="99"/>
      <c r="F7" s="99"/>
      <c r="G7" s="99"/>
      <c r="H7" s="99"/>
      <c r="I7" s="99"/>
      <c r="J7" s="99"/>
      <c r="K7" s="99"/>
      <c r="L7" s="99"/>
      <c r="M7" s="99"/>
      <c r="N7" s="99"/>
      <c r="O7" s="99"/>
      <c r="P7" s="99"/>
      <c r="Q7" s="99"/>
      <c r="R7" s="99"/>
      <c r="S7" s="99"/>
      <c r="T7" s="99"/>
      <c r="U7" s="99"/>
      <c r="V7" s="99"/>
      <c r="W7" s="99"/>
      <c r="X7" s="99"/>
      <c r="Y7" s="99"/>
      <c r="Z7" s="99"/>
    </row>
    <row r="8" spans="1:26" ht="15.5">
      <c r="A8" s="195"/>
      <c r="B8" s="199"/>
      <c r="C8" s="200"/>
      <c r="D8" s="195"/>
      <c r="E8" s="99"/>
      <c r="F8" s="99"/>
      <c r="G8" s="99"/>
      <c r="H8" s="99"/>
      <c r="I8" s="99"/>
      <c r="J8" s="99"/>
      <c r="K8" s="99"/>
      <c r="L8" s="99"/>
      <c r="M8" s="99"/>
      <c r="N8" s="99"/>
      <c r="O8" s="99"/>
      <c r="P8" s="99"/>
      <c r="Q8" s="99"/>
      <c r="R8" s="99"/>
      <c r="S8" s="99"/>
      <c r="T8" s="99"/>
      <c r="U8" s="99"/>
      <c r="V8" s="99"/>
      <c r="W8" s="99"/>
      <c r="X8" s="99"/>
      <c r="Y8" s="99"/>
      <c r="Z8" s="99"/>
    </row>
    <row r="9" spans="1:26" ht="15.5">
      <c r="A9" s="195"/>
      <c r="B9" s="201" t="s">
        <v>1</v>
      </c>
      <c r="C9" s="202">
        <f>'Eingabe Immodaten'!C10</f>
        <v>268881.15000000002</v>
      </c>
      <c r="D9" s="195"/>
      <c r="E9" s="99"/>
      <c r="F9" s="99"/>
      <c r="G9" s="99"/>
      <c r="H9" s="99"/>
      <c r="I9" s="99"/>
      <c r="J9" s="99"/>
      <c r="K9" s="99"/>
      <c r="L9" s="99"/>
      <c r="M9" s="99"/>
      <c r="N9" s="99"/>
      <c r="O9" s="99"/>
      <c r="P9" s="99"/>
      <c r="Q9" s="99"/>
      <c r="R9" s="99"/>
      <c r="S9" s="99"/>
      <c r="T9" s="99"/>
      <c r="U9" s="99"/>
      <c r="V9" s="99"/>
      <c r="W9" s="99"/>
      <c r="X9" s="99"/>
      <c r="Y9" s="99"/>
      <c r="Z9" s="99"/>
    </row>
    <row r="10" spans="1:26" ht="16" thickBot="1">
      <c r="A10" s="195"/>
      <c r="B10" s="197"/>
      <c r="C10" s="198"/>
      <c r="D10" s="195"/>
      <c r="E10" s="99"/>
      <c r="F10" s="99"/>
      <c r="G10" s="99"/>
      <c r="H10" s="99"/>
      <c r="I10" s="99"/>
      <c r="J10" s="99"/>
      <c r="K10" s="99"/>
      <c r="L10" s="99"/>
      <c r="M10" s="99"/>
      <c r="N10" s="99"/>
      <c r="O10" s="99"/>
      <c r="P10" s="99"/>
      <c r="Q10" s="99"/>
      <c r="R10" s="99"/>
      <c r="S10" s="99"/>
      <c r="T10" s="99"/>
      <c r="U10" s="99"/>
      <c r="V10" s="99"/>
      <c r="W10" s="99"/>
      <c r="X10" s="99"/>
      <c r="Y10" s="99"/>
      <c r="Z10" s="99"/>
    </row>
    <row r="11" spans="1:26" ht="16" thickBot="1">
      <c r="A11" s="5"/>
      <c r="B11" s="59" t="s">
        <v>100</v>
      </c>
      <c r="C11" s="66"/>
      <c r="D11" s="195"/>
      <c r="E11" s="99"/>
      <c r="F11" s="99"/>
      <c r="G11" s="99"/>
      <c r="H11" s="99"/>
      <c r="I11" s="99"/>
      <c r="J11" s="99"/>
      <c r="K11" s="99"/>
      <c r="L11" s="99"/>
      <c r="M11" s="99"/>
      <c r="N11" s="99"/>
      <c r="O11" s="99"/>
      <c r="P11" s="99"/>
      <c r="Q11" s="99"/>
      <c r="R11" s="99"/>
      <c r="S11" s="99"/>
      <c r="T11" s="99"/>
      <c r="U11" s="99"/>
      <c r="V11" s="99"/>
      <c r="W11" s="99"/>
      <c r="X11" s="99"/>
      <c r="Y11" s="99"/>
      <c r="Z11" s="99"/>
    </row>
    <row r="12" spans="1:26" ht="15.5">
      <c r="A12" s="195"/>
      <c r="B12" s="197"/>
      <c r="C12" s="203"/>
      <c r="D12" s="195"/>
      <c r="E12" s="99"/>
      <c r="F12" s="99"/>
      <c r="G12" s="99"/>
      <c r="H12" s="99"/>
      <c r="I12" s="99"/>
      <c r="J12" s="99"/>
      <c r="K12" s="99"/>
      <c r="L12" s="99"/>
      <c r="M12" s="99"/>
      <c r="N12" s="99"/>
      <c r="O12" s="99"/>
      <c r="P12" s="99"/>
      <c r="Q12" s="99"/>
      <c r="R12" s="99"/>
      <c r="S12" s="99"/>
      <c r="T12" s="99"/>
      <c r="U12" s="99"/>
      <c r="V12" s="99"/>
      <c r="W12" s="99"/>
      <c r="X12" s="99"/>
      <c r="Y12" s="99"/>
      <c r="Z12" s="99"/>
    </row>
    <row r="13" spans="1:26" ht="15.5">
      <c r="A13" s="195"/>
      <c r="B13" s="201" t="s">
        <v>61</v>
      </c>
      <c r="C13" s="202">
        <f>'Eingabe Immodaten'!C22</f>
        <v>18759</v>
      </c>
      <c r="D13" s="195"/>
      <c r="E13" s="99"/>
      <c r="F13" s="99"/>
      <c r="G13" s="99"/>
      <c r="H13" s="99"/>
      <c r="I13" s="99"/>
      <c r="J13" s="99"/>
      <c r="K13" s="99"/>
      <c r="L13" s="99"/>
      <c r="M13" s="99"/>
      <c r="N13" s="99"/>
      <c r="O13" s="99"/>
      <c r="P13" s="99"/>
      <c r="Q13" s="99"/>
      <c r="R13" s="99"/>
      <c r="S13" s="99"/>
      <c r="T13" s="99"/>
      <c r="U13" s="99"/>
      <c r="V13" s="99"/>
      <c r="W13" s="99"/>
      <c r="X13" s="99"/>
      <c r="Y13" s="99"/>
      <c r="Z13" s="99"/>
    </row>
    <row r="14" spans="1:26" ht="16" thickBot="1">
      <c r="A14" s="195"/>
      <c r="B14" s="204"/>
      <c r="C14" s="205"/>
      <c r="D14" s="195"/>
      <c r="E14" s="99"/>
      <c r="F14" s="99"/>
      <c r="G14" s="99"/>
      <c r="H14" s="99"/>
      <c r="I14" s="99"/>
      <c r="J14" s="99"/>
      <c r="K14" s="99"/>
      <c r="L14" s="99"/>
      <c r="M14" s="99"/>
      <c r="N14" s="99"/>
      <c r="O14" s="99"/>
      <c r="P14" s="99"/>
      <c r="Q14" s="99"/>
      <c r="R14" s="99"/>
      <c r="S14" s="99"/>
      <c r="T14" s="99"/>
      <c r="U14" s="99"/>
      <c r="V14" s="99"/>
      <c r="W14" s="99"/>
      <c r="X14" s="99"/>
      <c r="Y14" s="99"/>
      <c r="Z14" s="99"/>
    </row>
    <row r="15" spans="1:26" ht="16" thickBot="1">
      <c r="A15" s="5"/>
      <c r="B15" s="59" t="s">
        <v>106</v>
      </c>
      <c r="C15" s="66"/>
      <c r="D15" s="195"/>
      <c r="E15" s="99"/>
      <c r="F15" s="99"/>
      <c r="G15" s="99"/>
      <c r="H15" s="99"/>
      <c r="I15" s="99"/>
      <c r="J15" s="99"/>
      <c r="K15" s="99"/>
      <c r="L15" s="99"/>
      <c r="M15" s="99"/>
      <c r="N15" s="99"/>
      <c r="O15" s="99"/>
      <c r="P15" s="99"/>
      <c r="Q15" s="99"/>
      <c r="R15" s="99"/>
      <c r="S15" s="99"/>
      <c r="T15" s="99"/>
      <c r="U15" s="99"/>
      <c r="V15" s="99"/>
      <c r="W15" s="99"/>
      <c r="X15" s="99"/>
      <c r="Y15" s="99"/>
      <c r="Z15" s="99"/>
    </row>
    <row r="16" spans="1:26" ht="15.5">
      <c r="A16" s="195"/>
      <c r="B16" s="206"/>
      <c r="C16" s="207"/>
      <c r="D16" s="195"/>
      <c r="E16" s="99"/>
      <c r="F16" s="99"/>
      <c r="G16" s="99"/>
      <c r="H16" s="99"/>
      <c r="I16" s="99"/>
      <c r="J16" s="99"/>
      <c r="K16" s="99"/>
      <c r="L16" s="99"/>
      <c r="M16" s="99"/>
      <c r="N16" s="99"/>
      <c r="O16" s="99"/>
      <c r="P16" s="99"/>
      <c r="Q16" s="99"/>
      <c r="R16" s="99"/>
      <c r="S16" s="99"/>
      <c r="T16" s="99"/>
      <c r="U16" s="99"/>
      <c r="V16" s="99"/>
      <c r="W16" s="99"/>
      <c r="X16" s="99"/>
      <c r="Y16" s="99"/>
      <c r="Z16" s="99"/>
    </row>
    <row r="17" spans="1:26" ht="15.5">
      <c r="A17" s="195"/>
      <c r="B17" s="201" t="s">
        <v>107</v>
      </c>
      <c r="C17" s="202">
        <f>C9-C13</f>
        <v>250122.15000000002</v>
      </c>
      <c r="D17" s="195"/>
      <c r="E17" s="99"/>
      <c r="F17" s="99"/>
      <c r="G17" s="99"/>
      <c r="H17" s="99"/>
      <c r="I17" s="99"/>
      <c r="J17" s="99"/>
      <c r="K17" s="99"/>
      <c r="L17" s="99"/>
      <c r="M17" s="99"/>
      <c r="N17" s="99"/>
      <c r="O17" s="99"/>
      <c r="P17" s="99"/>
      <c r="Q17" s="99"/>
      <c r="R17" s="99"/>
      <c r="S17" s="99"/>
      <c r="T17" s="99"/>
      <c r="U17" s="99"/>
      <c r="V17" s="99"/>
      <c r="W17" s="99"/>
      <c r="X17" s="99"/>
      <c r="Y17" s="99"/>
      <c r="Z17" s="99"/>
    </row>
    <row r="18" spans="1:26" ht="16" thickBot="1">
      <c r="A18" s="195"/>
      <c r="B18" s="197"/>
      <c r="C18" s="203"/>
      <c r="D18" s="195"/>
      <c r="E18" s="99"/>
      <c r="F18" s="99"/>
      <c r="G18" s="99"/>
      <c r="H18" s="99"/>
      <c r="I18" s="99"/>
      <c r="J18" s="99"/>
      <c r="K18" s="99"/>
      <c r="L18" s="99"/>
      <c r="M18" s="99"/>
      <c r="N18" s="99"/>
      <c r="O18" s="99"/>
      <c r="P18" s="99"/>
      <c r="Q18" s="99"/>
      <c r="R18" s="99"/>
      <c r="S18" s="99"/>
      <c r="T18" s="99"/>
      <c r="U18" s="99"/>
      <c r="V18" s="99"/>
      <c r="W18" s="99"/>
      <c r="X18" s="99"/>
      <c r="Y18" s="99"/>
      <c r="Z18" s="99"/>
    </row>
    <row r="19" spans="1:26" ht="16" thickBot="1">
      <c r="A19" s="5"/>
      <c r="B19" s="59" t="s">
        <v>102</v>
      </c>
      <c r="C19" s="66"/>
      <c r="D19" s="195"/>
      <c r="E19" s="99"/>
      <c r="F19" s="99"/>
      <c r="G19" s="99"/>
      <c r="H19" s="99"/>
      <c r="I19" s="99"/>
      <c r="J19" s="99"/>
      <c r="K19" s="99"/>
      <c r="L19" s="99"/>
      <c r="M19" s="99"/>
      <c r="N19" s="99"/>
      <c r="O19" s="99"/>
      <c r="P19" s="99"/>
      <c r="Q19" s="99"/>
      <c r="R19" s="99"/>
      <c r="S19" s="99"/>
      <c r="T19" s="99"/>
      <c r="U19" s="99"/>
      <c r="V19" s="99"/>
      <c r="W19" s="99"/>
      <c r="X19" s="99"/>
      <c r="Y19" s="99"/>
      <c r="Z19" s="99"/>
    </row>
    <row r="20" spans="1:26" ht="15.5">
      <c r="A20" s="195"/>
      <c r="B20" s="197"/>
      <c r="C20" s="203"/>
      <c r="D20" s="195"/>
      <c r="E20" s="99"/>
      <c r="F20" s="99"/>
      <c r="G20" s="99"/>
      <c r="H20" s="99"/>
      <c r="I20" s="99"/>
      <c r="J20" s="99"/>
      <c r="K20" s="99"/>
      <c r="L20" s="99"/>
      <c r="M20" s="99"/>
      <c r="N20" s="99"/>
      <c r="O20" s="99"/>
      <c r="P20" s="99"/>
      <c r="Q20" s="99"/>
      <c r="R20" s="99"/>
      <c r="S20" s="99"/>
      <c r="T20" s="99"/>
      <c r="U20" s="99"/>
      <c r="V20" s="99"/>
      <c r="W20" s="99"/>
      <c r="X20" s="99"/>
      <c r="Y20" s="99"/>
      <c r="Z20" s="99"/>
    </row>
    <row r="21" spans="1:26" ht="15.5">
      <c r="A21" s="195"/>
      <c r="B21" s="199" t="s">
        <v>66</v>
      </c>
      <c r="C21" s="208">
        <f>'Eingabe Immodaten'!C32/12</f>
        <v>1313.1404999999997</v>
      </c>
      <c r="D21" s="195"/>
      <c r="E21" s="99"/>
      <c r="F21" s="99"/>
      <c r="G21" s="99"/>
      <c r="H21" s="99"/>
      <c r="I21" s="99"/>
      <c r="J21" s="99"/>
      <c r="K21" s="99"/>
      <c r="L21" s="99"/>
      <c r="M21" s="99"/>
      <c r="N21" s="99"/>
      <c r="O21" s="99"/>
      <c r="P21" s="99"/>
      <c r="Q21" s="99"/>
      <c r="R21" s="99"/>
      <c r="S21" s="99"/>
      <c r="T21" s="99"/>
      <c r="U21" s="99"/>
      <c r="V21" s="99"/>
      <c r="W21" s="99"/>
      <c r="X21" s="99"/>
      <c r="Y21" s="99"/>
      <c r="Z21" s="99"/>
    </row>
    <row r="22" spans="1:26" ht="15.5">
      <c r="A22" s="195"/>
      <c r="B22" s="199" t="s">
        <v>65</v>
      </c>
      <c r="C22" s="208">
        <f>'Eingabe Immodaten'!H9/12</f>
        <v>0</v>
      </c>
      <c r="D22" s="195"/>
      <c r="E22" s="99"/>
      <c r="F22" s="99"/>
      <c r="G22" s="99"/>
      <c r="H22" s="99"/>
      <c r="I22" s="99"/>
      <c r="J22" s="99"/>
      <c r="K22" s="99"/>
      <c r="L22" s="99"/>
      <c r="M22" s="99"/>
      <c r="N22" s="99"/>
      <c r="O22" s="99"/>
      <c r="P22" s="99"/>
      <c r="Q22" s="99"/>
      <c r="R22" s="99"/>
      <c r="S22" s="99"/>
      <c r="T22" s="99"/>
      <c r="U22" s="99"/>
      <c r="V22" s="99"/>
      <c r="W22" s="99"/>
      <c r="X22" s="99"/>
      <c r="Y22" s="99"/>
      <c r="Z22" s="99"/>
    </row>
    <row r="23" spans="1:26" ht="15.5">
      <c r="A23" s="195"/>
      <c r="B23" s="199"/>
      <c r="C23" s="208"/>
      <c r="D23" s="195"/>
      <c r="E23" s="99"/>
      <c r="F23" s="99"/>
      <c r="G23" s="99"/>
      <c r="H23" s="99"/>
      <c r="I23" s="99"/>
      <c r="J23" s="99"/>
      <c r="K23" s="99"/>
      <c r="L23" s="99"/>
      <c r="M23" s="99"/>
      <c r="N23" s="99"/>
      <c r="O23" s="99"/>
      <c r="P23" s="99"/>
      <c r="Q23" s="99"/>
      <c r="R23" s="99"/>
      <c r="S23" s="99"/>
      <c r="T23" s="99"/>
      <c r="U23" s="99"/>
      <c r="V23" s="99"/>
      <c r="W23" s="99"/>
      <c r="X23" s="99"/>
      <c r="Y23" s="99"/>
      <c r="Z23" s="99"/>
    </row>
    <row r="24" spans="1:26" ht="15.5">
      <c r="A24" s="195"/>
      <c r="B24" s="209" t="s">
        <v>103</v>
      </c>
      <c r="C24" s="210">
        <f>C22+C21</f>
        <v>1313.1404999999997</v>
      </c>
      <c r="D24" s="195"/>
      <c r="E24" s="99"/>
      <c r="F24" s="99"/>
      <c r="G24" s="99"/>
      <c r="H24" s="99"/>
      <c r="I24" s="99"/>
      <c r="J24" s="99"/>
      <c r="K24" s="99"/>
      <c r="L24" s="99"/>
      <c r="M24" s="99"/>
      <c r="N24" s="99"/>
      <c r="O24" s="99"/>
      <c r="P24" s="99"/>
      <c r="Q24" s="99"/>
      <c r="R24" s="99"/>
      <c r="S24" s="99"/>
      <c r="T24" s="99"/>
      <c r="U24" s="99"/>
      <c r="V24" s="99"/>
      <c r="W24" s="99"/>
      <c r="X24" s="99"/>
      <c r="Y24" s="99"/>
      <c r="Z24" s="99"/>
    </row>
    <row r="25" spans="1:26" ht="16" thickBot="1">
      <c r="A25" s="195"/>
      <c r="B25" s="197"/>
      <c r="C25" s="211"/>
      <c r="D25" s="195"/>
      <c r="E25" s="99"/>
      <c r="F25" s="99"/>
      <c r="G25" s="99"/>
      <c r="H25" s="99"/>
      <c r="I25" s="99"/>
      <c r="J25" s="99"/>
      <c r="K25" s="99"/>
      <c r="L25" s="99"/>
      <c r="M25" s="99"/>
      <c r="N25" s="99"/>
      <c r="O25" s="99"/>
      <c r="P25" s="99"/>
      <c r="Q25" s="99"/>
      <c r="R25" s="99"/>
      <c r="S25" s="99"/>
      <c r="T25" s="99"/>
      <c r="U25" s="99"/>
      <c r="V25" s="99"/>
      <c r="W25" s="99"/>
      <c r="X25" s="99"/>
      <c r="Y25" s="99"/>
      <c r="Z25" s="99"/>
    </row>
    <row r="26" spans="1:26" ht="16" thickBot="1">
      <c r="A26" s="5"/>
      <c r="B26" s="59" t="s">
        <v>104</v>
      </c>
      <c r="C26" s="66"/>
      <c r="D26" s="195"/>
      <c r="E26" s="99"/>
      <c r="F26" s="99"/>
      <c r="G26" s="99"/>
      <c r="H26" s="99"/>
      <c r="I26" s="99"/>
      <c r="J26" s="99"/>
      <c r="K26" s="99"/>
      <c r="L26" s="99"/>
      <c r="M26" s="99"/>
      <c r="N26" s="99"/>
      <c r="O26" s="99"/>
      <c r="P26" s="99"/>
      <c r="Q26" s="99"/>
      <c r="R26" s="99"/>
      <c r="S26" s="99"/>
      <c r="T26" s="99"/>
      <c r="U26" s="99"/>
      <c r="V26" s="99"/>
      <c r="W26" s="99"/>
      <c r="X26" s="99"/>
      <c r="Y26" s="99"/>
      <c r="Z26" s="99"/>
    </row>
    <row r="27" spans="1:26" ht="15.5">
      <c r="A27" s="195"/>
      <c r="B27" s="197"/>
      <c r="C27" s="203"/>
      <c r="D27" s="195"/>
      <c r="E27" s="99"/>
      <c r="F27" s="99"/>
      <c r="G27" s="99"/>
      <c r="H27" s="99"/>
      <c r="I27" s="99"/>
      <c r="J27" s="99"/>
      <c r="K27" s="99"/>
      <c r="L27" s="99"/>
      <c r="M27" s="99"/>
      <c r="N27" s="99"/>
      <c r="O27" s="99"/>
      <c r="P27" s="99"/>
      <c r="Q27" s="99"/>
      <c r="R27" s="99"/>
      <c r="S27" s="99"/>
      <c r="T27" s="99"/>
      <c r="U27" s="99"/>
      <c r="V27" s="99"/>
      <c r="W27" s="99"/>
      <c r="X27" s="99"/>
      <c r="Y27" s="99"/>
      <c r="Z27" s="99"/>
    </row>
    <row r="28" spans="1:26" ht="15.5">
      <c r="A28" s="195"/>
      <c r="B28" s="199" t="s">
        <v>62</v>
      </c>
      <c r="C28" s="200">
        <f>'Eingabe Immodaten'!D12</f>
        <v>51.01</v>
      </c>
      <c r="D28" s="195"/>
      <c r="E28" s="99"/>
      <c r="F28" s="99"/>
      <c r="G28" s="99"/>
      <c r="H28" s="99"/>
      <c r="I28" s="99"/>
      <c r="J28" s="99"/>
      <c r="K28" s="99"/>
      <c r="L28" s="99"/>
      <c r="M28" s="99"/>
      <c r="N28" s="99"/>
      <c r="O28" s="99"/>
      <c r="P28" s="99"/>
      <c r="Q28" s="99"/>
      <c r="R28" s="99"/>
      <c r="S28" s="99"/>
      <c r="T28" s="99"/>
      <c r="U28" s="99"/>
      <c r="V28" s="99"/>
      <c r="W28" s="99"/>
      <c r="X28" s="99"/>
      <c r="Y28" s="99"/>
      <c r="Z28" s="99"/>
    </row>
    <row r="29" spans="1:26" ht="15.5">
      <c r="A29" s="195"/>
      <c r="B29" s="199" t="s">
        <v>67</v>
      </c>
      <c r="C29" s="200">
        <f>'Eingabe Immodaten'!D13</f>
        <v>60</v>
      </c>
      <c r="D29" s="195"/>
      <c r="E29" s="99"/>
      <c r="F29" s="99"/>
      <c r="G29" s="99"/>
      <c r="H29" s="99"/>
      <c r="I29" s="99"/>
      <c r="J29" s="99"/>
      <c r="K29" s="99"/>
      <c r="L29" s="99"/>
      <c r="M29" s="99"/>
      <c r="N29" s="99"/>
      <c r="O29" s="99"/>
      <c r="P29" s="99"/>
      <c r="Q29" s="99"/>
      <c r="R29" s="99"/>
      <c r="S29" s="99"/>
      <c r="T29" s="99"/>
      <c r="U29" s="99"/>
      <c r="V29" s="99"/>
      <c r="W29" s="99"/>
      <c r="X29" s="99"/>
      <c r="Y29" s="99"/>
      <c r="Z29" s="99"/>
    </row>
    <row r="30" spans="1:26" ht="15.5">
      <c r="A30" s="195"/>
      <c r="B30" s="199"/>
      <c r="C30" s="200"/>
      <c r="D30" s="195"/>
      <c r="E30" s="99"/>
      <c r="F30" s="99"/>
      <c r="G30" s="99"/>
      <c r="H30" s="99"/>
      <c r="I30" s="99"/>
      <c r="J30" s="99"/>
      <c r="K30" s="99"/>
      <c r="L30" s="99"/>
      <c r="M30" s="99"/>
      <c r="N30" s="99"/>
      <c r="O30" s="99"/>
      <c r="P30" s="99"/>
      <c r="Q30" s="99"/>
      <c r="R30" s="99"/>
      <c r="S30" s="99"/>
      <c r="T30" s="99"/>
      <c r="U30" s="99"/>
      <c r="V30" s="99"/>
      <c r="W30" s="99"/>
      <c r="X30" s="99"/>
      <c r="Y30" s="99"/>
      <c r="Z30" s="99"/>
    </row>
    <row r="31" spans="1:26" ht="15.5">
      <c r="A31" s="195"/>
      <c r="B31" s="201" t="s">
        <v>105</v>
      </c>
      <c r="C31" s="202">
        <f>SUM(C28:C30)</f>
        <v>111.00999999999999</v>
      </c>
      <c r="D31" s="195"/>
      <c r="E31" s="99"/>
      <c r="F31" s="99"/>
      <c r="G31" s="99"/>
      <c r="H31" s="99"/>
      <c r="I31" s="99"/>
      <c r="J31" s="99"/>
      <c r="K31" s="99"/>
      <c r="L31" s="99"/>
      <c r="M31" s="99"/>
      <c r="N31" s="99"/>
      <c r="O31" s="99"/>
      <c r="P31" s="99"/>
      <c r="Q31" s="99"/>
      <c r="R31" s="99"/>
      <c r="S31" s="99"/>
      <c r="T31" s="99"/>
      <c r="U31" s="99"/>
      <c r="V31" s="99"/>
      <c r="W31" s="99"/>
      <c r="X31" s="99"/>
      <c r="Y31" s="99"/>
      <c r="Z31" s="99"/>
    </row>
    <row r="32" spans="1:26" ht="16" thickBot="1">
      <c r="A32" s="195"/>
      <c r="B32" s="197"/>
      <c r="C32" s="198"/>
      <c r="D32" s="195"/>
      <c r="E32" s="99"/>
      <c r="F32" s="99"/>
      <c r="G32" s="99"/>
      <c r="H32" s="99"/>
      <c r="I32" s="99"/>
      <c r="J32" s="99"/>
      <c r="K32" s="99"/>
      <c r="L32" s="99"/>
      <c r="M32" s="99"/>
      <c r="N32" s="99"/>
      <c r="O32" s="99"/>
      <c r="P32" s="99"/>
      <c r="Q32" s="99"/>
      <c r="R32" s="99"/>
      <c r="S32" s="99"/>
      <c r="T32" s="99"/>
      <c r="U32" s="99"/>
      <c r="V32" s="99"/>
      <c r="W32" s="99"/>
      <c r="X32" s="99"/>
      <c r="Y32" s="99"/>
      <c r="Z32" s="99"/>
    </row>
    <row r="33" spans="1:26" ht="16" thickBot="1">
      <c r="A33" s="5"/>
      <c r="B33" s="59" t="s">
        <v>63</v>
      </c>
      <c r="C33" s="66">
        <f>C31+C24</f>
        <v>1424.1504999999997</v>
      </c>
      <c r="D33" s="195"/>
      <c r="E33" s="99"/>
      <c r="F33" s="99"/>
      <c r="G33" s="99"/>
      <c r="H33" s="99"/>
      <c r="I33" s="99"/>
      <c r="J33" s="99"/>
      <c r="K33" s="99"/>
      <c r="L33" s="99"/>
      <c r="M33" s="99"/>
      <c r="N33" s="99"/>
      <c r="O33" s="99"/>
      <c r="P33" s="99"/>
      <c r="Q33" s="99"/>
      <c r="R33" s="99"/>
      <c r="S33" s="99"/>
      <c r="T33" s="99"/>
      <c r="U33" s="99"/>
      <c r="V33" s="99"/>
      <c r="W33" s="99"/>
      <c r="X33" s="99"/>
      <c r="Y33" s="99"/>
      <c r="Z33" s="99"/>
    </row>
    <row r="34" spans="1:26" ht="16" thickBot="1">
      <c r="A34" s="195"/>
      <c r="B34" s="197"/>
      <c r="C34" s="203"/>
      <c r="D34" s="195"/>
      <c r="E34" s="99"/>
      <c r="F34" s="99"/>
      <c r="G34" s="99"/>
      <c r="H34" s="99"/>
      <c r="I34" s="99"/>
      <c r="J34" s="99"/>
      <c r="K34" s="99"/>
      <c r="L34" s="99"/>
      <c r="M34" s="99"/>
      <c r="N34" s="99"/>
      <c r="O34" s="99"/>
      <c r="P34" s="99"/>
      <c r="Q34" s="99"/>
      <c r="R34" s="99"/>
      <c r="S34" s="99"/>
      <c r="T34" s="99"/>
      <c r="U34" s="99"/>
      <c r="V34" s="99"/>
      <c r="W34" s="99"/>
      <c r="X34" s="99"/>
      <c r="Y34" s="99"/>
      <c r="Z34" s="99"/>
    </row>
    <row r="35" spans="1:26" ht="16" thickBot="1">
      <c r="A35" s="5"/>
      <c r="B35" s="59" t="s">
        <v>64</v>
      </c>
      <c r="C35" s="66">
        <f>'Eingabe Immodaten'!D11</f>
        <v>950</v>
      </c>
      <c r="D35" s="195"/>
      <c r="E35" s="99"/>
      <c r="F35" s="99"/>
      <c r="G35" s="99"/>
      <c r="H35" s="99"/>
      <c r="I35" s="99"/>
      <c r="J35" s="99"/>
      <c r="K35" s="99"/>
      <c r="L35" s="99"/>
      <c r="M35" s="99"/>
      <c r="N35" s="99"/>
      <c r="O35" s="99"/>
      <c r="P35" s="99"/>
      <c r="Q35" s="99"/>
      <c r="R35" s="99"/>
      <c r="S35" s="99"/>
      <c r="T35" s="99"/>
      <c r="U35" s="99"/>
      <c r="V35" s="99"/>
      <c r="W35" s="99"/>
      <c r="X35" s="99"/>
      <c r="Y35" s="99"/>
      <c r="Z35" s="99"/>
    </row>
    <row r="36" spans="1:26" ht="16" thickBot="1">
      <c r="A36" s="195"/>
      <c r="B36" s="197"/>
      <c r="C36" s="203"/>
      <c r="D36" s="195"/>
      <c r="E36" s="99"/>
      <c r="F36" s="99"/>
      <c r="G36" s="99"/>
      <c r="H36" s="99"/>
      <c r="I36" s="99"/>
      <c r="J36" s="99"/>
      <c r="K36" s="99"/>
      <c r="L36" s="99"/>
      <c r="M36" s="99"/>
      <c r="N36" s="99"/>
      <c r="O36" s="99"/>
      <c r="P36" s="99"/>
      <c r="Q36" s="99"/>
      <c r="R36" s="99"/>
      <c r="S36" s="99"/>
      <c r="T36" s="99"/>
      <c r="U36" s="99"/>
      <c r="V36" s="99"/>
      <c r="W36" s="99"/>
      <c r="X36" s="99"/>
      <c r="Y36" s="99"/>
      <c r="Z36" s="99"/>
    </row>
    <row r="37" spans="1:26" ht="16" thickBot="1">
      <c r="A37" s="5"/>
      <c r="B37" s="67" t="str">
        <f>IF(C37&lt;0,"Ihre anfängliche Zuzahlung vor Steuer mtl.","Ihr anfänglicher Überschuss vor Steuer mtl.")</f>
        <v>Ihre anfängliche Zuzahlung vor Steuer mtl.</v>
      </c>
      <c r="C37" s="68">
        <f>C35-C33</f>
        <v>-474.15049999999974</v>
      </c>
      <c r="D37" s="195"/>
      <c r="E37" s="99"/>
      <c r="F37" s="99"/>
      <c r="G37" s="99"/>
      <c r="H37" s="99"/>
      <c r="I37" s="99"/>
      <c r="J37" s="99"/>
      <c r="K37" s="99"/>
      <c r="L37" s="99"/>
      <c r="M37" s="99"/>
      <c r="N37" s="99"/>
      <c r="O37" s="99"/>
      <c r="P37" s="99"/>
      <c r="Q37" s="99"/>
      <c r="R37" s="99"/>
      <c r="S37" s="99"/>
      <c r="T37" s="99"/>
      <c r="U37" s="99"/>
      <c r="V37" s="99"/>
      <c r="W37" s="99"/>
      <c r="X37" s="99"/>
      <c r="Y37" s="99"/>
      <c r="Z37" s="99"/>
    </row>
    <row r="38" spans="1:26">
      <c r="A38" s="195"/>
      <c r="D38" s="195"/>
      <c r="E38" s="99"/>
      <c r="F38" s="99"/>
      <c r="G38" s="99"/>
      <c r="H38" s="99"/>
      <c r="I38" s="99"/>
      <c r="J38" s="99"/>
      <c r="K38" s="99"/>
      <c r="L38" s="99"/>
      <c r="M38" s="99"/>
      <c r="N38" s="99"/>
      <c r="O38" s="99"/>
      <c r="P38" s="99"/>
      <c r="Q38" s="99"/>
      <c r="R38" s="99"/>
      <c r="S38" s="99"/>
      <c r="T38" s="99"/>
      <c r="U38" s="99"/>
      <c r="V38" s="99"/>
      <c r="W38" s="99"/>
      <c r="X38" s="99"/>
      <c r="Y38" s="99"/>
      <c r="Z38" s="99"/>
    </row>
    <row r="39" spans="1:26">
      <c r="A39" s="195"/>
      <c r="B39" s="587" t="s">
        <v>226</v>
      </c>
      <c r="C39" s="587"/>
      <c r="D39" s="195"/>
      <c r="E39" s="99"/>
      <c r="F39" s="99"/>
      <c r="G39" s="99"/>
      <c r="H39" s="99"/>
      <c r="I39" s="99"/>
      <c r="J39" s="99"/>
      <c r="K39" s="99"/>
      <c r="L39" s="99"/>
      <c r="M39" s="99"/>
      <c r="N39" s="99"/>
      <c r="O39" s="99"/>
      <c r="P39" s="99"/>
      <c r="Q39" s="99"/>
      <c r="R39" s="99"/>
      <c r="S39" s="99"/>
      <c r="T39" s="99"/>
      <c r="U39" s="99"/>
      <c r="V39" s="99"/>
      <c r="W39" s="99"/>
      <c r="X39" s="99"/>
      <c r="Y39" s="99"/>
      <c r="Z39" s="99"/>
    </row>
    <row r="40" spans="1:26">
      <c r="A40" s="195"/>
      <c r="B40" s="264"/>
      <c r="C40" s="264"/>
      <c r="D40" s="195"/>
      <c r="E40" s="99"/>
      <c r="F40" s="99"/>
      <c r="G40" s="99"/>
      <c r="H40" s="99"/>
      <c r="I40" s="99"/>
      <c r="J40" s="99"/>
      <c r="K40" s="99"/>
      <c r="L40" s="99"/>
      <c r="M40" s="99"/>
      <c r="N40" s="99"/>
      <c r="O40" s="99"/>
      <c r="P40" s="99"/>
      <c r="Q40" s="99"/>
      <c r="R40" s="99"/>
      <c r="S40" s="99"/>
      <c r="T40" s="99"/>
      <c r="U40" s="99"/>
      <c r="V40" s="99"/>
      <c r="W40" s="99"/>
      <c r="X40" s="99"/>
      <c r="Y40" s="99"/>
      <c r="Z40" s="99"/>
    </row>
    <row r="41" spans="1:26">
      <c r="A41" s="195"/>
      <c r="B41" s="264"/>
      <c r="C41" s="264"/>
      <c r="D41" s="195"/>
      <c r="E41" s="99"/>
      <c r="F41" s="99"/>
      <c r="G41" s="99"/>
      <c r="H41" s="99"/>
      <c r="I41" s="99"/>
      <c r="J41" s="99"/>
      <c r="K41" s="99"/>
      <c r="L41" s="99"/>
      <c r="M41" s="99"/>
      <c r="N41" s="99"/>
      <c r="O41" s="99"/>
      <c r="P41" s="99"/>
      <c r="Q41" s="99"/>
      <c r="R41" s="99"/>
      <c r="S41" s="99"/>
      <c r="T41" s="99"/>
      <c r="U41" s="99"/>
      <c r="V41" s="99"/>
      <c r="W41" s="99"/>
      <c r="X41" s="99"/>
      <c r="Y41" s="99"/>
      <c r="Z41" s="99"/>
    </row>
    <row r="42" spans="1:26">
      <c r="A42" s="195"/>
      <c r="D42" s="195"/>
      <c r="E42" s="99"/>
      <c r="F42" s="99"/>
      <c r="G42" s="99"/>
      <c r="H42" s="99"/>
      <c r="I42" s="99"/>
      <c r="J42" s="99"/>
      <c r="K42" s="99"/>
      <c r="L42" s="99"/>
      <c r="M42" s="99"/>
      <c r="N42" s="99"/>
      <c r="O42" s="99"/>
      <c r="P42" s="99"/>
      <c r="Q42" s="99"/>
      <c r="R42" s="99"/>
      <c r="S42" s="99"/>
      <c r="T42" s="99"/>
      <c r="U42" s="99"/>
      <c r="V42" s="99"/>
      <c r="W42" s="99"/>
      <c r="X42" s="99"/>
      <c r="Y42" s="99"/>
      <c r="Z42" s="99"/>
    </row>
    <row r="43" spans="1:26">
      <c r="A43" s="195"/>
      <c r="B43" s="264"/>
      <c r="C43" s="264"/>
      <c r="D43" s="195"/>
      <c r="E43" s="99"/>
      <c r="F43" s="99"/>
      <c r="G43" s="99"/>
      <c r="H43" s="99"/>
      <c r="I43" s="99"/>
      <c r="J43" s="99"/>
      <c r="K43" s="99"/>
      <c r="L43" s="99"/>
      <c r="M43" s="99"/>
      <c r="N43" s="99"/>
      <c r="O43" s="99"/>
      <c r="P43" s="99"/>
      <c r="Q43" s="99"/>
      <c r="R43" s="99"/>
      <c r="S43" s="99"/>
      <c r="T43" s="99"/>
      <c r="U43" s="99"/>
      <c r="V43" s="99"/>
      <c r="W43" s="99"/>
      <c r="X43" s="99"/>
      <c r="Y43" s="99"/>
      <c r="Z43" s="99"/>
    </row>
    <row r="44" spans="1:26">
      <c r="A44" s="195"/>
      <c r="B44" s="195"/>
      <c r="C44" s="195"/>
      <c r="D44" s="195"/>
      <c r="E44" s="99"/>
      <c r="F44" s="99"/>
      <c r="G44" s="99"/>
      <c r="H44" s="99"/>
      <c r="I44" s="99"/>
      <c r="J44" s="99"/>
      <c r="K44" s="99"/>
      <c r="L44" s="99"/>
      <c r="M44" s="99"/>
      <c r="N44" s="99"/>
      <c r="O44" s="99"/>
      <c r="P44" s="99"/>
      <c r="Q44" s="99"/>
      <c r="R44" s="99"/>
      <c r="S44" s="99"/>
      <c r="T44" s="99"/>
      <c r="U44" s="99"/>
      <c r="V44" s="99"/>
      <c r="W44" s="99"/>
      <c r="X44" s="99"/>
      <c r="Y44" s="99"/>
      <c r="Z44" s="99"/>
    </row>
    <row r="45" spans="1:26">
      <c r="A45" s="195"/>
      <c r="D45" s="195"/>
      <c r="E45" s="99"/>
      <c r="F45" s="99"/>
      <c r="G45" s="99"/>
      <c r="H45" s="99"/>
      <c r="I45" s="99"/>
      <c r="J45" s="99"/>
      <c r="K45" s="99"/>
      <c r="L45" s="99"/>
      <c r="M45" s="99"/>
      <c r="N45" s="99"/>
      <c r="O45" s="99"/>
      <c r="P45" s="99"/>
      <c r="Q45" s="99"/>
      <c r="R45" s="99"/>
      <c r="S45" s="99"/>
      <c r="T45" s="99"/>
      <c r="U45" s="99"/>
      <c r="V45" s="99"/>
      <c r="W45" s="99"/>
      <c r="X45" s="99"/>
      <c r="Y45" s="99"/>
      <c r="Z45" s="99"/>
    </row>
    <row r="46" spans="1:26">
      <c r="A46" s="195"/>
      <c r="B46" s="586"/>
      <c r="C46" s="587"/>
      <c r="D46" s="195"/>
      <c r="E46" s="99"/>
      <c r="F46" s="99"/>
      <c r="G46" s="99"/>
      <c r="H46" s="99"/>
      <c r="I46" s="99"/>
      <c r="J46" s="99"/>
      <c r="K46" s="99"/>
      <c r="L46" s="99"/>
      <c r="M46" s="99"/>
      <c r="N46" s="99"/>
      <c r="O46" s="99"/>
      <c r="P46" s="99"/>
      <c r="Q46" s="99"/>
      <c r="R46" s="99"/>
      <c r="S46" s="99"/>
      <c r="T46" s="99"/>
      <c r="U46" s="99"/>
      <c r="V46" s="99"/>
      <c r="W46" s="99"/>
      <c r="X46" s="99"/>
      <c r="Y46" s="99"/>
      <c r="Z46" s="99"/>
    </row>
    <row r="47" spans="1:26">
      <c r="A47" s="195"/>
      <c r="B47" s="195"/>
      <c r="C47" s="195"/>
      <c r="D47" s="195"/>
      <c r="E47" s="99"/>
      <c r="F47" s="99"/>
      <c r="G47" s="99"/>
      <c r="H47" s="99"/>
      <c r="I47" s="99"/>
      <c r="J47" s="99"/>
      <c r="K47" s="99"/>
      <c r="L47" s="99"/>
      <c r="M47" s="99"/>
      <c r="N47" s="99"/>
      <c r="O47" s="99"/>
      <c r="P47" s="99"/>
      <c r="Q47" s="99"/>
      <c r="R47" s="99"/>
      <c r="S47" s="99"/>
      <c r="T47" s="99"/>
      <c r="U47" s="99"/>
      <c r="V47" s="99"/>
      <c r="W47" s="99"/>
      <c r="X47" s="99"/>
      <c r="Y47" s="99"/>
      <c r="Z47" s="99"/>
    </row>
    <row r="48" spans="1:26">
      <c r="A48" s="195"/>
      <c r="B48" s="195"/>
      <c r="C48" s="195"/>
      <c r="D48" s="195"/>
      <c r="E48" s="99"/>
      <c r="F48" s="99"/>
      <c r="G48" s="99"/>
      <c r="H48" s="99"/>
      <c r="I48" s="99"/>
      <c r="J48" s="99"/>
      <c r="K48" s="99"/>
      <c r="L48" s="99"/>
      <c r="M48" s="99"/>
      <c r="N48" s="99"/>
      <c r="O48" s="99"/>
      <c r="P48" s="99"/>
      <c r="Q48" s="99"/>
      <c r="R48" s="99"/>
      <c r="S48" s="99"/>
      <c r="T48" s="99"/>
      <c r="U48" s="99"/>
      <c r="V48" s="99"/>
      <c r="W48" s="99"/>
      <c r="X48" s="99"/>
      <c r="Y48" s="99"/>
      <c r="Z48" s="99"/>
    </row>
    <row r="49" spans="1:26">
      <c r="A49" s="195"/>
      <c r="B49" s="195"/>
      <c r="C49" s="195"/>
      <c r="D49" s="195"/>
      <c r="E49" s="99"/>
      <c r="F49" s="99"/>
      <c r="G49" s="99"/>
      <c r="H49" s="99"/>
      <c r="I49" s="99"/>
      <c r="J49" s="99"/>
      <c r="K49" s="99"/>
      <c r="L49" s="99"/>
      <c r="M49" s="99"/>
      <c r="N49" s="99"/>
      <c r="O49" s="99"/>
      <c r="P49" s="99"/>
      <c r="Q49" s="99"/>
      <c r="R49" s="99"/>
      <c r="S49" s="99"/>
      <c r="T49" s="99"/>
      <c r="U49" s="99"/>
      <c r="V49" s="99"/>
      <c r="W49" s="99"/>
      <c r="X49" s="99"/>
      <c r="Y49" s="99"/>
      <c r="Z49" s="99"/>
    </row>
    <row r="50" spans="1:26">
      <c r="A50" s="195"/>
      <c r="B50" s="195"/>
      <c r="C50" s="195"/>
      <c r="D50" s="195"/>
      <c r="E50" s="99"/>
      <c r="F50" s="99"/>
      <c r="G50" s="99"/>
      <c r="H50" s="99"/>
      <c r="I50" s="99"/>
      <c r="J50" s="99"/>
      <c r="K50" s="99"/>
      <c r="L50" s="99"/>
      <c r="M50" s="99"/>
      <c r="N50" s="99"/>
      <c r="O50" s="99"/>
      <c r="P50" s="99"/>
      <c r="Q50" s="99"/>
      <c r="R50" s="99"/>
      <c r="S50" s="99"/>
      <c r="T50" s="99"/>
      <c r="U50" s="99"/>
      <c r="V50" s="99"/>
      <c r="W50" s="99"/>
      <c r="X50" s="99"/>
      <c r="Y50" s="99"/>
      <c r="Z50" s="99"/>
    </row>
    <row r="51" spans="1:26">
      <c r="A51" s="195"/>
      <c r="B51" s="195"/>
      <c r="C51" s="195"/>
      <c r="D51" s="195"/>
      <c r="E51" s="99"/>
      <c r="F51" s="99"/>
      <c r="G51" s="99"/>
      <c r="H51" s="99"/>
      <c r="I51" s="99"/>
      <c r="J51" s="99"/>
      <c r="K51" s="99"/>
      <c r="L51" s="99"/>
      <c r="M51" s="99"/>
      <c r="N51" s="99"/>
      <c r="O51" s="99"/>
      <c r="P51" s="99"/>
      <c r="Q51" s="99"/>
      <c r="R51" s="99"/>
      <c r="S51" s="99"/>
      <c r="T51" s="99"/>
      <c r="U51" s="99"/>
      <c r="V51" s="99"/>
      <c r="W51" s="99"/>
      <c r="X51" s="99"/>
      <c r="Y51" s="99"/>
      <c r="Z51" s="99"/>
    </row>
    <row r="52" spans="1:26">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row>
    <row r="53" spans="1:26">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row>
    <row r="54" spans="1:26">
      <c r="A54" s="99"/>
      <c r="B54" s="99"/>
      <c r="C54" s="99"/>
      <c r="D54" s="99"/>
      <c r="E54" s="99"/>
      <c r="F54" s="99"/>
      <c r="G54" s="99"/>
      <c r="H54" s="99"/>
      <c r="I54" s="99"/>
      <c r="J54" s="99"/>
      <c r="K54" s="99"/>
      <c r="L54" s="99"/>
      <c r="M54" s="99"/>
      <c r="N54" s="99"/>
      <c r="O54" s="99"/>
      <c r="P54" s="99"/>
      <c r="Q54" s="99"/>
      <c r="R54" s="99"/>
      <c r="S54" s="99"/>
      <c r="T54" s="99"/>
      <c r="U54" s="99"/>
      <c r="V54" s="99"/>
      <c r="W54" s="99"/>
      <c r="X54" s="99"/>
      <c r="Y54" s="99"/>
      <c r="Z54" s="99"/>
    </row>
    <row r="55" spans="1:26">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row>
    <row r="56" spans="1:26">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row>
    <row r="57" spans="1:26">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row>
    <row r="58" spans="1:26">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row>
    <row r="59" spans="1:26">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row>
    <row r="60" spans="1:26">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row>
    <row r="61" spans="1:26">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row>
    <row r="62" spans="1:26">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row>
    <row r="63" spans="1:26">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row>
    <row r="64" spans="1:26">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row>
    <row r="65" spans="1:26">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row>
    <row r="66" spans="1:26">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row>
    <row r="67" spans="1:26">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row>
    <row r="68" spans="1:26">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row>
    <row r="69" spans="1:26">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row>
    <row r="70" spans="1:26">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row>
    <row r="71" spans="1:26">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row>
    <row r="72" spans="1:26">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row>
    <row r="73" spans="1:26">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row>
    <row r="74" spans="1:26">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row>
    <row r="75" spans="1:26">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row>
    <row r="76" spans="1:26">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row>
    <row r="77" spans="1:26">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row>
    <row r="78" spans="1:26">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row>
    <row r="79" spans="1:26">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row>
    <row r="80" spans="1:26">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row>
    <row r="81" spans="1:26">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row>
    <row r="82" spans="1:26">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row>
    <row r="83" spans="1:26">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row>
    <row r="84" spans="1:26">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row>
    <row r="85" spans="1:26">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row>
    <row r="86" spans="1:26">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row>
    <row r="87" spans="1:26">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row>
    <row r="88" spans="1:26">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row>
    <row r="89" spans="1:26">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row>
    <row r="90" spans="1:26">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row>
    <row r="91" spans="1:26">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row>
    <row r="92" spans="1:26">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row>
    <row r="93" spans="1:26">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row>
    <row r="94" spans="1:26">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row>
    <row r="95" spans="1:26">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row>
    <row r="96" spans="1:26">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row>
    <row r="97" spans="1:26">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row>
    <row r="98" spans="1:26">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99"/>
    </row>
    <row r="99" spans="1:26">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99"/>
    </row>
    <row r="100" spans="1:26">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row>
  </sheetData>
  <sheetProtection algorithmName="SHA-512" hashValue="KP/Smnm7Mild9HLhdt54ZCls8mdsH9jeC95/UpaXrZUIyCWUhCdzZgjyn3mgSgcD/PXvJkgHNEV6/OW3vCp49Q==" saltValue="9shVOTtvrz5g//9Zw0I72Q==" spinCount="100000" sheet="1" objects="1" scenarios="1"/>
  <mergeCells count="2">
    <mergeCell ref="B46:C46"/>
    <mergeCell ref="B39:C39"/>
  </mergeCells>
  <hyperlinks>
    <hyperlink ref="B39:C39" location="'Eingabe Käuferdaten'!A1" display="Menü" xr:uid="{26B67301-0F82-47C2-B6B3-D6907EFB02BF}"/>
  </hyperlinks>
  <pageMargins left="0.70866141732283472" right="0.70866141732283472" top="0.78740157480314965" bottom="0.78740157480314965"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3A6EB-B5DF-4BBD-9019-B29ECDFF9460}">
  <sheetPr codeName="Tabelle19">
    <pageSetUpPr fitToPage="1"/>
  </sheetPr>
  <dimension ref="A1:Z100"/>
  <sheetViews>
    <sheetView topLeftCell="A15" zoomScaleNormal="100" workbookViewId="0">
      <selection activeCell="B41" sqref="B41"/>
    </sheetView>
  </sheetViews>
  <sheetFormatPr baseColWidth="10" defaultColWidth="11.453125" defaultRowHeight="12.5"/>
  <cols>
    <col min="1" max="1" width="5.81640625" style="5" customWidth="1"/>
    <col min="2" max="2" width="70.81640625" style="5" bestFit="1" customWidth="1"/>
    <col min="3" max="3" width="13.7265625" style="5" customWidth="1"/>
    <col min="4" max="4" width="17.1796875" style="5" customWidth="1"/>
    <col min="5" max="5" width="24.26953125" style="5" customWidth="1"/>
    <col min="6" max="13" width="11.453125" style="5"/>
    <col min="14" max="14" width="30.26953125" style="5" bestFit="1" customWidth="1"/>
    <col min="15" max="15" width="19.26953125" style="5" bestFit="1" customWidth="1"/>
    <col min="16" max="16384" width="11.453125" style="5"/>
  </cols>
  <sheetData>
    <row r="1" spans="1:26">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row>
    <row r="2" spans="1:26" ht="15.5">
      <c r="A2" s="195"/>
      <c r="B2" s="43" t="s">
        <v>80</v>
      </c>
      <c r="C2" s="6"/>
      <c r="D2" s="7"/>
      <c r="E2" s="7"/>
      <c r="F2" s="195"/>
      <c r="G2" s="195"/>
      <c r="H2" s="195"/>
      <c r="I2" s="195"/>
      <c r="J2" s="195"/>
      <c r="K2" s="195"/>
      <c r="L2" s="195"/>
      <c r="M2" s="195"/>
      <c r="N2" s="195"/>
      <c r="O2" s="195"/>
      <c r="P2" s="195"/>
      <c r="Q2" s="195"/>
      <c r="R2" s="195"/>
      <c r="S2" s="195"/>
      <c r="T2" s="195"/>
      <c r="U2" s="195"/>
      <c r="V2" s="195"/>
      <c r="W2" s="195"/>
      <c r="X2" s="195"/>
      <c r="Y2" s="195"/>
      <c r="Z2" s="195"/>
    </row>
    <row r="3" spans="1:26" ht="13" thickBot="1">
      <c r="A3" s="195"/>
      <c r="B3" s="196"/>
      <c r="C3" s="196"/>
      <c r="D3" s="196"/>
      <c r="E3" s="196"/>
      <c r="F3" s="195"/>
      <c r="G3" s="195"/>
      <c r="H3" s="195"/>
      <c r="I3" s="195"/>
      <c r="J3" s="195"/>
      <c r="K3" s="195"/>
      <c r="L3" s="195"/>
      <c r="M3" s="195"/>
      <c r="N3" s="195"/>
      <c r="O3" s="195"/>
      <c r="P3" s="195"/>
      <c r="Q3" s="195"/>
      <c r="R3" s="195"/>
      <c r="S3" s="195"/>
      <c r="T3" s="195"/>
      <c r="U3" s="195"/>
      <c r="V3" s="195"/>
      <c r="W3" s="195"/>
      <c r="X3" s="195"/>
      <c r="Y3" s="195"/>
      <c r="Z3" s="195"/>
    </row>
    <row r="4" spans="1:26" ht="16" thickBot="1">
      <c r="B4" s="60" t="s">
        <v>76</v>
      </c>
      <c r="C4" s="61"/>
      <c r="D4" s="61" t="s">
        <v>78</v>
      </c>
      <c r="E4" s="62" t="s">
        <v>79</v>
      </c>
      <c r="F4" s="195"/>
      <c r="G4" s="195"/>
      <c r="H4" s="195"/>
      <c r="I4" s="195"/>
      <c r="J4" s="195"/>
      <c r="K4" s="195"/>
      <c r="L4" s="195"/>
      <c r="M4" s="195"/>
      <c r="N4" s="195"/>
      <c r="O4" s="195"/>
      <c r="P4" s="195"/>
      <c r="Q4" s="195"/>
      <c r="R4" s="195"/>
      <c r="S4" s="195"/>
      <c r="T4" s="195"/>
      <c r="U4" s="195"/>
      <c r="V4" s="195"/>
      <c r="W4" s="195"/>
      <c r="X4" s="195"/>
      <c r="Y4" s="195"/>
      <c r="Z4" s="195"/>
    </row>
    <row r="5" spans="1:26" ht="15.5">
      <c r="A5" s="195"/>
      <c r="B5" s="217"/>
      <c r="C5" s="218"/>
      <c r="D5" s="219"/>
      <c r="E5" s="220"/>
      <c r="F5" s="195"/>
      <c r="G5" s="195"/>
      <c r="H5" s="195"/>
      <c r="I5" s="195"/>
      <c r="J5" s="195"/>
      <c r="K5" s="195"/>
      <c r="L5" s="195"/>
      <c r="M5" s="195"/>
      <c r="N5" s="195"/>
      <c r="O5" s="195"/>
      <c r="P5" s="195"/>
      <c r="Q5" s="195"/>
      <c r="R5" s="195"/>
      <c r="S5" s="195"/>
      <c r="T5" s="195"/>
      <c r="U5" s="195"/>
      <c r="V5" s="195"/>
      <c r="W5" s="195"/>
      <c r="X5" s="195"/>
      <c r="Y5" s="195"/>
      <c r="Z5" s="195"/>
    </row>
    <row r="6" spans="1:26" ht="15.5">
      <c r="A6" s="195"/>
      <c r="B6" s="199" t="s">
        <v>71</v>
      </c>
      <c r="C6" s="221"/>
      <c r="D6" s="222">
        <f>'Eingabe Immodaten'!D11</f>
        <v>950</v>
      </c>
      <c r="E6" s="208">
        <f>D6*12</f>
        <v>11400</v>
      </c>
      <c r="F6" s="195"/>
      <c r="G6" s="195"/>
      <c r="H6" s="195"/>
      <c r="I6" s="195"/>
      <c r="J6" s="195"/>
      <c r="K6" s="195"/>
      <c r="L6" s="195"/>
      <c r="M6" s="195"/>
      <c r="N6" s="195"/>
      <c r="O6" s="195"/>
      <c r="P6" s="195"/>
      <c r="Q6" s="195"/>
      <c r="R6" s="195"/>
      <c r="S6" s="195"/>
      <c r="T6" s="195"/>
      <c r="U6" s="195"/>
      <c r="V6" s="195"/>
      <c r="W6" s="195"/>
      <c r="X6" s="195"/>
      <c r="Y6" s="195"/>
      <c r="Z6" s="195"/>
    </row>
    <row r="7" spans="1:26" ht="15.5">
      <c r="A7" s="195"/>
      <c r="B7" s="199"/>
      <c r="C7" s="221"/>
      <c r="D7" s="221"/>
      <c r="E7" s="223"/>
      <c r="F7" s="195"/>
      <c r="G7" s="195"/>
      <c r="H7" s="195"/>
      <c r="I7" s="195"/>
      <c r="J7" s="195"/>
      <c r="K7" s="195"/>
      <c r="L7" s="195"/>
      <c r="M7" s="195"/>
      <c r="N7" s="195"/>
      <c r="O7" s="195"/>
      <c r="P7" s="195"/>
      <c r="Q7" s="195"/>
      <c r="R7" s="195"/>
      <c r="S7" s="195"/>
      <c r="T7" s="195"/>
      <c r="U7" s="195"/>
      <c r="V7" s="195"/>
      <c r="W7" s="195"/>
      <c r="X7" s="195"/>
      <c r="Y7" s="195"/>
      <c r="Z7" s="195"/>
    </row>
    <row r="8" spans="1:26" ht="15.5">
      <c r="A8" s="195"/>
      <c r="B8" s="201" t="s">
        <v>75</v>
      </c>
      <c r="C8" s="43"/>
      <c r="D8" s="224">
        <f>D6</f>
        <v>950</v>
      </c>
      <c r="E8" s="210">
        <f>E6</f>
        <v>11400</v>
      </c>
      <c r="F8" s="195"/>
      <c r="G8" s="195"/>
      <c r="H8" s="195"/>
      <c r="I8" s="195"/>
      <c r="J8" s="195"/>
      <c r="K8" s="195"/>
      <c r="L8" s="195"/>
      <c r="M8" s="195"/>
      <c r="N8" s="195"/>
      <c r="O8" s="195"/>
      <c r="P8" s="195"/>
      <c r="Q8" s="195"/>
      <c r="R8" s="195"/>
      <c r="S8" s="195"/>
      <c r="T8" s="195"/>
      <c r="U8" s="195"/>
      <c r="V8" s="195"/>
      <c r="W8" s="195"/>
      <c r="X8" s="195"/>
      <c r="Y8" s="195"/>
      <c r="Z8" s="195"/>
    </row>
    <row r="9" spans="1:26" ht="16" thickBot="1">
      <c r="A9" s="195"/>
      <c r="B9" s="197"/>
      <c r="C9" s="7"/>
      <c r="D9" s="7"/>
      <c r="E9" s="203"/>
      <c r="F9" s="195"/>
      <c r="G9" s="195"/>
      <c r="H9" s="195"/>
      <c r="I9" s="195"/>
      <c r="J9" s="195"/>
      <c r="K9" s="195"/>
      <c r="L9" s="195"/>
      <c r="M9" s="195"/>
      <c r="N9" s="195"/>
      <c r="O9" s="195"/>
      <c r="P9" s="195"/>
      <c r="Q9" s="195"/>
      <c r="R9" s="195"/>
      <c r="S9" s="195"/>
      <c r="T9" s="195"/>
      <c r="U9" s="195"/>
      <c r="V9" s="195"/>
      <c r="W9" s="195"/>
      <c r="X9" s="195"/>
      <c r="Y9" s="195"/>
      <c r="Z9" s="195"/>
    </row>
    <row r="10" spans="1:26" ht="16" thickBot="1">
      <c r="A10" s="195"/>
      <c r="B10" s="60" t="s">
        <v>72</v>
      </c>
      <c r="C10" s="61"/>
      <c r="D10" s="61"/>
      <c r="E10" s="62"/>
      <c r="F10" s="195"/>
      <c r="G10" s="196"/>
      <c r="H10" s="195"/>
      <c r="I10" s="195"/>
      <c r="J10" s="195"/>
      <c r="K10" s="195"/>
      <c r="L10" s="195"/>
      <c r="M10" s="195"/>
      <c r="N10" s="195"/>
      <c r="O10" s="195"/>
      <c r="P10" s="195"/>
      <c r="Q10" s="195"/>
      <c r="R10" s="195"/>
      <c r="S10" s="195"/>
      <c r="T10" s="195"/>
      <c r="U10" s="195"/>
      <c r="V10" s="195"/>
      <c r="W10" s="195"/>
      <c r="X10" s="195"/>
      <c r="Y10" s="195"/>
      <c r="Z10" s="195"/>
    </row>
    <row r="11" spans="1:26" ht="15.5">
      <c r="A11" s="195"/>
      <c r="B11" s="225"/>
      <c r="C11" s="6"/>
      <c r="D11" s="7"/>
      <c r="E11" s="203"/>
      <c r="F11" s="195"/>
      <c r="G11" s="195"/>
      <c r="H11" s="195"/>
      <c r="I11" s="195"/>
      <c r="J11" s="195"/>
      <c r="K11" s="195"/>
      <c r="L11" s="195"/>
      <c r="M11" s="195"/>
      <c r="N11" s="195"/>
      <c r="O11" s="195"/>
      <c r="P11" s="195"/>
      <c r="Q11" s="195"/>
      <c r="R11" s="195"/>
      <c r="S11" s="195"/>
      <c r="T11" s="195"/>
      <c r="U11" s="195"/>
      <c r="V11" s="195"/>
      <c r="W11" s="195"/>
      <c r="X11" s="195"/>
      <c r="Y11" s="195"/>
      <c r="Z11" s="195"/>
    </row>
    <row r="12" spans="1:26" ht="15.5">
      <c r="A12" s="195"/>
      <c r="B12" s="199" t="s">
        <v>52</v>
      </c>
      <c r="C12" s="221"/>
      <c r="D12" s="226">
        <f>E12/12</f>
        <v>896.27049999999997</v>
      </c>
      <c r="E12" s="200">
        <f>Ergebnistabelle!P7+Ergebnistabelle!S7</f>
        <v>10755.245999999999</v>
      </c>
      <c r="F12" s="195"/>
      <c r="G12" s="195"/>
      <c r="H12" s="195"/>
      <c r="I12" s="195"/>
      <c r="J12" s="195"/>
      <c r="K12" s="195"/>
      <c r="L12" s="195"/>
      <c r="M12" s="196"/>
      <c r="N12" s="195"/>
      <c r="O12" s="195"/>
      <c r="P12" s="195"/>
      <c r="Q12" s="195"/>
      <c r="R12" s="195"/>
      <c r="S12" s="195"/>
      <c r="T12" s="195"/>
      <c r="U12" s="195"/>
      <c r="V12" s="195"/>
      <c r="W12" s="195"/>
      <c r="X12" s="195"/>
      <c r="Y12" s="195"/>
      <c r="Z12" s="195"/>
    </row>
    <row r="13" spans="1:26" ht="15.5">
      <c r="A13" s="195"/>
      <c r="B13" s="199" t="s">
        <v>73</v>
      </c>
      <c r="C13" s="221"/>
      <c r="D13" s="226">
        <f>'Eingabe Immodaten'!D13</f>
        <v>60</v>
      </c>
      <c r="E13" s="200">
        <f>D13*12</f>
        <v>720</v>
      </c>
      <c r="F13" s="195"/>
      <c r="G13" s="195"/>
      <c r="H13" s="195"/>
      <c r="I13" s="195"/>
      <c r="J13" s="195"/>
      <c r="K13" s="195"/>
      <c r="L13" s="195"/>
      <c r="M13" s="196"/>
      <c r="N13" s="195"/>
      <c r="O13" s="195"/>
      <c r="P13" s="195"/>
      <c r="Q13" s="195"/>
      <c r="R13" s="195"/>
      <c r="S13" s="195"/>
      <c r="T13" s="195"/>
      <c r="U13" s="195"/>
      <c r="V13" s="195"/>
      <c r="W13" s="195"/>
      <c r="X13" s="195"/>
      <c r="Y13" s="195"/>
      <c r="Z13" s="195"/>
    </row>
    <row r="14" spans="1:26" ht="15.5">
      <c r="A14" s="195"/>
      <c r="B14" s="199" t="s">
        <v>74</v>
      </c>
      <c r="C14" s="221"/>
      <c r="D14" s="226">
        <f>'Eingabe Immodaten'!D12</f>
        <v>51.01</v>
      </c>
      <c r="E14" s="200">
        <f>D14*12</f>
        <v>612.12</v>
      </c>
      <c r="F14" s="195"/>
      <c r="G14" s="195"/>
      <c r="H14" s="195"/>
      <c r="I14" s="195"/>
      <c r="J14" s="195"/>
      <c r="K14" s="195"/>
      <c r="L14" s="195"/>
      <c r="M14" s="196"/>
      <c r="N14" s="195"/>
      <c r="O14" s="195"/>
      <c r="P14" s="195"/>
      <c r="Q14" s="195"/>
      <c r="R14" s="195"/>
      <c r="S14" s="195"/>
      <c r="T14" s="195"/>
      <c r="U14" s="195"/>
      <c r="V14" s="195"/>
      <c r="W14" s="195"/>
      <c r="X14" s="195"/>
      <c r="Y14" s="195"/>
      <c r="Z14" s="195"/>
    </row>
    <row r="15" spans="1:26" ht="15.5">
      <c r="A15" s="195"/>
      <c r="B15" s="199" t="s">
        <v>14</v>
      </c>
      <c r="C15" s="221"/>
      <c r="D15" s="226">
        <f>E15/12</f>
        <v>0</v>
      </c>
      <c r="E15" s="200">
        <f>'Eingabe Immodaten'!C9</f>
        <v>0</v>
      </c>
      <c r="F15" s="195"/>
      <c r="G15" s="195"/>
      <c r="H15" s="195"/>
      <c r="I15" s="195"/>
      <c r="J15" s="195"/>
      <c r="K15" s="195"/>
      <c r="L15" s="195"/>
      <c r="M15" s="196"/>
      <c r="N15" s="195"/>
      <c r="O15" s="195"/>
      <c r="P15" s="195"/>
      <c r="Q15" s="195"/>
      <c r="R15" s="195"/>
      <c r="S15" s="195"/>
      <c r="T15" s="195"/>
      <c r="U15" s="195"/>
      <c r="V15" s="195"/>
      <c r="W15" s="195"/>
      <c r="X15" s="195"/>
      <c r="Y15" s="195"/>
      <c r="Z15" s="195"/>
    </row>
    <row r="16" spans="1:26" ht="15.5">
      <c r="A16" s="195"/>
      <c r="B16" s="199"/>
      <c r="C16" s="221"/>
      <c r="D16" s="226"/>
      <c r="E16" s="200"/>
      <c r="F16" s="195"/>
      <c r="G16" s="195"/>
      <c r="H16" s="195"/>
      <c r="I16" s="195"/>
      <c r="J16" s="195"/>
      <c r="K16" s="195"/>
      <c r="L16" s="195"/>
      <c r="M16" s="196"/>
      <c r="N16" s="195"/>
      <c r="O16" s="195"/>
      <c r="P16" s="195"/>
      <c r="Q16" s="195"/>
      <c r="R16" s="195"/>
      <c r="S16" s="195"/>
      <c r="T16" s="195"/>
      <c r="U16" s="195"/>
      <c r="V16" s="195"/>
      <c r="W16" s="195"/>
      <c r="X16" s="195"/>
      <c r="Y16" s="195"/>
      <c r="Z16" s="195"/>
    </row>
    <row r="17" spans="1:26" ht="15.5">
      <c r="A17" s="195"/>
      <c r="B17" s="201" t="s">
        <v>77</v>
      </c>
      <c r="C17" s="43"/>
      <c r="D17" s="224">
        <f>SUM(D12:D15)</f>
        <v>1007.2805</v>
      </c>
      <c r="E17" s="202">
        <f>SUM(E12:E15)</f>
        <v>12087.366</v>
      </c>
      <c r="F17" s="195"/>
      <c r="G17" s="195"/>
      <c r="H17" s="195"/>
      <c r="I17" s="195"/>
      <c r="J17" s="195"/>
      <c r="K17" s="195"/>
      <c r="L17" s="195"/>
      <c r="M17" s="196"/>
      <c r="N17" s="195"/>
      <c r="O17" s="195"/>
      <c r="P17" s="195"/>
      <c r="Q17" s="195"/>
      <c r="R17" s="195"/>
      <c r="S17" s="195"/>
      <c r="T17" s="195"/>
      <c r="U17" s="195"/>
      <c r="V17" s="195"/>
      <c r="W17" s="195"/>
      <c r="X17" s="195"/>
      <c r="Y17" s="195"/>
      <c r="Z17" s="195"/>
    </row>
    <row r="18" spans="1:26" ht="16" thickBot="1">
      <c r="A18" s="195"/>
      <c r="B18" s="197"/>
      <c r="C18" s="7"/>
      <c r="D18" s="227"/>
      <c r="E18" s="203"/>
      <c r="F18" s="195"/>
      <c r="G18" s="195"/>
      <c r="H18" s="195"/>
      <c r="I18" s="195"/>
      <c r="J18" s="195"/>
      <c r="K18" s="195"/>
      <c r="L18" s="195"/>
      <c r="M18" s="196"/>
      <c r="N18" s="195"/>
      <c r="O18" s="195"/>
      <c r="P18" s="195"/>
      <c r="Q18" s="195"/>
      <c r="R18" s="195"/>
      <c r="S18" s="195"/>
      <c r="T18" s="195"/>
      <c r="U18" s="195"/>
      <c r="V18" s="195"/>
      <c r="W18" s="195"/>
      <c r="X18" s="195"/>
      <c r="Y18" s="195"/>
      <c r="Z18" s="195"/>
    </row>
    <row r="19" spans="1:26" ht="16" thickBot="1">
      <c r="A19" s="195"/>
      <c r="B19" s="60" t="s">
        <v>93</v>
      </c>
      <c r="C19" s="61"/>
      <c r="D19" s="61"/>
      <c r="E19" s="62"/>
      <c r="F19" s="195"/>
      <c r="G19" s="195"/>
      <c r="H19" s="195"/>
      <c r="I19" s="195"/>
      <c r="J19" s="195"/>
      <c r="K19" s="195"/>
      <c r="L19" s="195"/>
      <c r="M19" s="196"/>
      <c r="N19" s="195"/>
      <c r="O19" s="195"/>
      <c r="P19" s="196"/>
      <c r="Q19" s="195"/>
      <c r="R19" s="195"/>
      <c r="S19" s="195"/>
      <c r="T19" s="195"/>
      <c r="U19" s="195"/>
      <c r="V19" s="195"/>
      <c r="W19" s="195"/>
      <c r="X19" s="195"/>
      <c r="Y19" s="195"/>
      <c r="Z19" s="195"/>
    </row>
    <row r="20" spans="1:26" ht="15.5">
      <c r="A20" s="195"/>
      <c r="B20" s="225"/>
      <c r="C20" s="6"/>
      <c r="D20" s="7"/>
      <c r="E20" s="203"/>
      <c r="F20" s="195"/>
      <c r="G20" s="195"/>
      <c r="H20" s="195"/>
      <c r="I20" s="195"/>
      <c r="J20" s="195"/>
      <c r="K20" s="195"/>
      <c r="L20" s="195"/>
      <c r="M20" s="196"/>
      <c r="N20" s="195"/>
      <c r="O20" s="195"/>
      <c r="P20" s="196"/>
      <c r="Q20" s="195"/>
      <c r="R20" s="195"/>
      <c r="S20" s="195"/>
      <c r="T20" s="195"/>
      <c r="U20" s="195"/>
      <c r="V20" s="195"/>
      <c r="W20" s="195"/>
      <c r="X20" s="195"/>
      <c r="Y20" s="195"/>
      <c r="Z20" s="195"/>
    </row>
    <row r="21" spans="1:26" ht="15.5">
      <c r="A21" s="195"/>
      <c r="B21" s="199" t="s">
        <v>96</v>
      </c>
      <c r="C21" s="221"/>
      <c r="D21" s="221"/>
      <c r="E21" s="200">
        <f>'Eingabe Immodaten'!C5-'Eingabe Immodaten'!C6-'Eingabe Immodaten'!C7</f>
        <v>200097.6</v>
      </c>
      <c r="F21" s="195"/>
      <c r="G21" s="195"/>
      <c r="H21" s="195"/>
      <c r="I21" s="195"/>
      <c r="J21" s="195"/>
      <c r="K21" s="195"/>
      <c r="L21" s="195"/>
      <c r="M21" s="195"/>
      <c r="N21" s="195"/>
      <c r="O21" s="195"/>
      <c r="P21" s="196"/>
      <c r="Q21" s="195"/>
      <c r="R21" s="195"/>
      <c r="S21" s="195"/>
      <c r="T21" s="195"/>
      <c r="U21" s="195"/>
      <c r="V21" s="195"/>
      <c r="W21" s="195"/>
      <c r="X21" s="195"/>
      <c r="Y21" s="195"/>
      <c r="Z21" s="195"/>
    </row>
    <row r="22" spans="1:26" ht="15.5">
      <c r="A22" s="195"/>
      <c r="B22" s="199" t="s">
        <v>97</v>
      </c>
      <c r="C22" s="221"/>
      <c r="D22" s="221"/>
      <c r="E22" s="200">
        <f>'Eingabe Immodaten'!H14-E21</f>
        <v>15007.320000000036</v>
      </c>
      <c r="F22" s="195"/>
      <c r="G22" s="213"/>
      <c r="H22" s="195"/>
      <c r="I22" s="195"/>
      <c r="J22" s="195"/>
      <c r="K22" s="195"/>
      <c r="L22" s="195"/>
      <c r="M22" s="196"/>
      <c r="N22" s="195"/>
      <c r="O22" s="195"/>
      <c r="P22" s="195"/>
      <c r="Q22" s="195"/>
      <c r="R22" s="195"/>
      <c r="S22" s="195"/>
      <c r="T22" s="195"/>
      <c r="U22" s="195"/>
      <c r="V22" s="195"/>
      <c r="W22" s="195"/>
      <c r="X22" s="195"/>
      <c r="Y22" s="195"/>
      <c r="Z22" s="195"/>
    </row>
    <row r="23" spans="1:26" ht="15.5">
      <c r="A23" s="195"/>
      <c r="B23" s="199" t="s">
        <v>98</v>
      </c>
      <c r="C23" s="221"/>
      <c r="D23" s="221"/>
      <c r="E23" s="200">
        <f>'Eingabe Immodaten'!H14</f>
        <v>215104.92000000004</v>
      </c>
      <c r="F23" s="195"/>
      <c r="G23" s="213"/>
      <c r="H23" s="195"/>
      <c r="I23" s="195"/>
      <c r="J23" s="195"/>
      <c r="K23" s="195"/>
      <c r="L23" s="195"/>
      <c r="M23" s="195"/>
      <c r="N23" s="195"/>
      <c r="O23" s="195"/>
      <c r="P23" s="195"/>
      <c r="Q23" s="195"/>
      <c r="R23" s="195"/>
      <c r="S23" s="195"/>
      <c r="T23" s="195"/>
      <c r="U23" s="195"/>
      <c r="V23" s="195"/>
      <c r="W23" s="195"/>
      <c r="X23" s="195"/>
      <c r="Y23" s="195"/>
      <c r="Z23" s="195"/>
    </row>
    <row r="24" spans="1:26" ht="15.5">
      <c r="A24" s="195"/>
      <c r="B24" s="199" t="s">
        <v>95</v>
      </c>
      <c r="C24" s="221"/>
      <c r="D24" s="221"/>
      <c r="E24" s="200">
        <f>'Eingabe Immodaten'!H16</f>
        <v>0</v>
      </c>
      <c r="F24" s="195"/>
      <c r="G24" s="213"/>
      <c r="H24" s="195"/>
      <c r="I24" s="195"/>
      <c r="J24" s="195"/>
      <c r="K24" s="195"/>
      <c r="L24" s="195"/>
      <c r="M24" s="195"/>
      <c r="N24" s="195"/>
      <c r="O24" s="195"/>
      <c r="P24" s="195"/>
      <c r="Q24" s="195"/>
      <c r="R24" s="195"/>
      <c r="S24" s="195"/>
      <c r="T24" s="195"/>
      <c r="U24" s="195"/>
      <c r="V24" s="195"/>
      <c r="W24" s="195"/>
      <c r="X24" s="195"/>
      <c r="Y24" s="195"/>
      <c r="Z24" s="195"/>
    </row>
    <row r="25" spans="1:26" ht="15.5">
      <c r="A25" s="195"/>
      <c r="B25" s="199"/>
      <c r="C25" s="221"/>
      <c r="D25" s="221"/>
      <c r="E25" s="200"/>
      <c r="F25" s="195"/>
      <c r="G25" s="213"/>
      <c r="H25" s="195"/>
      <c r="I25" s="195"/>
      <c r="J25" s="195"/>
      <c r="K25" s="195"/>
      <c r="L25" s="195"/>
      <c r="M25" s="195"/>
      <c r="N25" s="195"/>
      <c r="O25" s="195"/>
      <c r="P25" s="195"/>
      <c r="Q25" s="195"/>
      <c r="R25" s="195"/>
      <c r="S25" s="195"/>
      <c r="T25" s="195"/>
      <c r="U25" s="195"/>
      <c r="V25" s="195"/>
      <c r="W25" s="195"/>
      <c r="X25" s="195"/>
      <c r="Y25" s="195"/>
      <c r="Z25" s="195"/>
    </row>
    <row r="26" spans="1:26" ht="15.5">
      <c r="A26" s="195"/>
      <c r="B26" s="201" t="s">
        <v>108</v>
      </c>
      <c r="C26" s="43"/>
      <c r="D26" s="43"/>
      <c r="E26" s="202">
        <f>E23+E24</f>
        <v>215104.92000000004</v>
      </c>
      <c r="F26" s="195"/>
      <c r="G26" s="213"/>
      <c r="H26" s="195"/>
      <c r="I26" s="195"/>
      <c r="J26" s="195"/>
      <c r="K26" s="195"/>
      <c r="L26" s="195"/>
      <c r="M26" s="195"/>
      <c r="N26" s="195"/>
      <c r="O26" s="195"/>
      <c r="P26" s="195"/>
      <c r="Q26" s="195"/>
      <c r="R26" s="195"/>
      <c r="S26" s="195"/>
      <c r="T26" s="195"/>
      <c r="U26" s="195"/>
      <c r="V26" s="195"/>
      <c r="W26" s="195"/>
      <c r="X26" s="195"/>
      <c r="Y26" s="195"/>
      <c r="Z26" s="195"/>
    </row>
    <row r="27" spans="1:26" ht="16" thickBot="1">
      <c r="A27" s="195"/>
      <c r="B27" s="197"/>
      <c r="C27" s="7"/>
      <c r="D27" s="228"/>
      <c r="E27" s="203"/>
      <c r="F27" s="195"/>
      <c r="G27" s="195"/>
      <c r="H27" s="195"/>
      <c r="I27" s="195"/>
      <c r="J27" s="195"/>
      <c r="K27" s="195"/>
      <c r="L27" s="195"/>
      <c r="M27" s="195"/>
      <c r="N27" s="195"/>
      <c r="O27" s="195"/>
      <c r="P27" s="195"/>
      <c r="Q27" s="195"/>
      <c r="R27" s="195"/>
      <c r="S27" s="195"/>
      <c r="T27" s="195"/>
      <c r="U27" s="195"/>
      <c r="V27" s="195"/>
      <c r="W27" s="195"/>
      <c r="X27" s="195"/>
      <c r="Y27" s="195"/>
      <c r="Z27" s="195"/>
    </row>
    <row r="28" spans="1:26" ht="16" thickBot="1">
      <c r="A28" s="195"/>
      <c r="B28" s="60" t="s">
        <v>94</v>
      </c>
      <c r="C28" s="61"/>
      <c r="D28" s="61"/>
      <c r="E28" s="62"/>
      <c r="F28" s="195"/>
      <c r="G28" s="195"/>
      <c r="H28" s="195"/>
      <c r="I28" s="195"/>
      <c r="J28" s="195"/>
      <c r="K28" s="195"/>
      <c r="L28" s="195"/>
      <c r="M28" s="195"/>
      <c r="N28" s="195"/>
      <c r="O28" s="195"/>
      <c r="P28" s="195"/>
      <c r="Q28" s="195"/>
      <c r="R28" s="195"/>
      <c r="S28" s="195"/>
      <c r="T28" s="195"/>
      <c r="U28" s="195"/>
      <c r="V28" s="195"/>
      <c r="W28" s="195"/>
      <c r="X28" s="195"/>
      <c r="Y28" s="195"/>
      <c r="Z28" s="195"/>
    </row>
    <row r="29" spans="1:26" ht="15.5">
      <c r="A29" s="195"/>
      <c r="B29" s="229"/>
      <c r="C29" s="230"/>
      <c r="D29" s="231"/>
      <c r="E29" s="203"/>
      <c r="F29" s="195"/>
      <c r="G29" s="195"/>
      <c r="H29" s="195"/>
      <c r="I29" s="195"/>
      <c r="J29" s="195"/>
      <c r="K29" s="195"/>
      <c r="L29" s="195"/>
      <c r="M29" s="195"/>
      <c r="N29" s="195"/>
      <c r="O29" s="195"/>
      <c r="P29" s="195"/>
      <c r="Q29" s="195"/>
      <c r="R29" s="195"/>
      <c r="S29" s="195"/>
      <c r="T29" s="195"/>
      <c r="U29" s="195"/>
      <c r="V29" s="195"/>
      <c r="W29" s="195"/>
      <c r="X29" s="195"/>
      <c r="Y29" s="195"/>
      <c r="Z29" s="195"/>
    </row>
    <row r="30" spans="1:26" ht="15.5">
      <c r="A30" s="195"/>
      <c r="B30" s="199" t="s">
        <v>92</v>
      </c>
      <c r="C30" s="232">
        <f>'Eingabe Immodaten'!H15/100</f>
        <v>3.5000000000000003E-2</v>
      </c>
      <c r="D30" s="226">
        <f>E30/12</f>
        <v>627.38935000000015</v>
      </c>
      <c r="E30" s="208">
        <f>E23*'Eingabe Immodaten'!H15/100</f>
        <v>7528.6722000000018</v>
      </c>
      <c r="F30" s="195"/>
      <c r="G30" s="195"/>
      <c r="H30" s="195"/>
      <c r="I30" s="195"/>
      <c r="J30" s="195"/>
      <c r="K30" s="195"/>
      <c r="L30" s="195"/>
      <c r="M30" s="195"/>
      <c r="N30" s="195"/>
      <c r="O30" s="195"/>
      <c r="P30" s="195"/>
      <c r="Q30" s="195"/>
      <c r="R30" s="195"/>
      <c r="S30" s="195"/>
      <c r="T30" s="195"/>
      <c r="U30" s="195"/>
      <c r="V30" s="195"/>
      <c r="W30" s="195"/>
      <c r="X30" s="195"/>
      <c r="Y30" s="195"/>
      <c r="Z30" s="195"/>
    </row>
    <row r="31" spans="1:26" ht="15.5">
      <c r="A31" s="195"/>
      <c r="B31" s="199" t="s">
        <v>20</v>
      </c>
      <c r="C31" s="233">
        <v>0.09</v>
      </c>
      <c r="D31" s="226">
        <f>E31/12</f>
        <v>0</v>
      </c>
      <c r="E31" s="208">
        <f>E24*C31</f>
        <v>0</v>
      </c>
      <c r="F31" s="195"/>
      <c r="G31" s="195"/>
      <c r="H31" s="195"/>
      <c r="I31" s="195"/>
      <c r="J31" s="195"/>
      <c r="K31" s="195"/>
      <c r="L31" s="195"/>
      <c r="M31" s="195"/>
      <c r="N31" s="195"/>
      <c r="O31" s="195"/>
      <c r="P31" s="195"/>
      <c r="Q31" s="195"/>
      <c r="R31" s="195"/>
      <c r="S31" s="195"/>
      <c r="T31" s="195"/>
      <c r="U31" s="195"/>
      <c r="V31" s="195"/>
      <c r="W31" s="195"/>
      <c r="X31" s="195"/>
      <c r="Y31" s="195"/>
      <c r="Z31" s="195"/>
    </row>
    <row r="32" spans="1:26" ht="15.5">
      <c r="A32" s="195"/>
      <c r="B32" s="199"/>
      <c r="C32" s="234"/>
      <c r="D32" s="226"/>
      <c r="E32" s="208"/>
      <c r="F32" s="195"/>
      <c r="G32" s="195"/>
      <c r="H32" s="195"/>
      <c r="I32" s="195"/>
      <c r="J32" s="195"/>
      <c r="K32" s="195"/>
      <c r="L32" s="195"/>
      <c r="M32" s="195"/>
      <c r="N32" s="195"/>
      <c r="O32" s="195"/>
      <c r="P32" s="195"/>
      <c r="Q32" s="195"/>
      <c r="R32" s="195"/>
      <c r="S32" s="195"/>
      <c r="T32" s="195"/>
      <c r="U32" s="195"/>
      <c r="V32" s="195"/>
      <c r="W32" s="195"/>
      <c r="X32" s="195"/>
      <c r="Y32" s="195"/>
      <c r="Z32" s="195"/>
    </row>
    <row r="33" spans="1:26" ht="15.5">
      <c r="A33" s="195"/>
      <c r="B33" s="201" t="s">
        <v>99</v>
      </c>
      <c r="C33" s="235"/>
      <c r="D33" s="224">
        <f>E33/12</f>
        <v>627.38935000000015</v>
      </c>
      <c r="E33" s="210">
        <f>SUM(E30:E32)</f>
        <v>7528.6722000000018</v>
      </c>
      <c r="F33" s="195"/>
      <c r="G33" s="195"/>
      <c r="H33" s="195"/>
      <c r="I33" s="195"/>
      <c r="J33" s="195"/>
      <c r="K33" s="195"/>
      <c r="L33" s="195"/>
      <c r="M33" s="195"/>
      <c r="N33" s="195"/>
      <c r="O33" s="195"/>
      <c r="P33" s="195"/>
      <c r="Q33" s="195"/>
      <c r="R33" s="195"/>
      <c r="S33" s="195"/>
      <c r="T33" s="195"/>
      <c r="U33" s="195"/>
      <c r="V33" s="195"/>
      <c r="W33" s="195"/>
      <c r="X33" s="195"/>
      <c r="Y33" s="195"/>
      <c r="Z33" s="195"/>
    </row>
    <row r="34" spans="1:26" ht="16" thickBot="1">
      <c r="A34" s="195"/>
      <c r="B34" s="197"/>
      <c r="C34" s="7"/>
      <c r="D34" s="7"/>
      <c r="E34" s="236"/>
      <c r="F34" s="195"/>
      <c r="G34" s="195"/>
      <c r="H34" s="195"/>
      <c r="I34" s="195"/>
      <c r="J34" s="195"/>
      <c r="K34" s="195"/>
      <c r="L34" s="195"/>
      <c r="M34" s="195"/>
      <c r="N34" s="195"/>
      <c r="O34" s="195"/>
      <c r="P34" s="195"/>
      <c r="Q34" s="195"/>
      <c r="R34" s="195"/>
      <c r="S34" s="195"/>
      <c r="T34" s="195"/>
      <c r="U34" s="195"/>
      <c r="V34" s="195"/>
      <c r="W34" s="195"/>
      <c r="X34" s="195"/>
      <c r="Y34" s="195"/>
      <c r="Z34" s="195"/>
    </row>
    <row r="35" spans="1:26" ht="16" thickBot="1">
      <c r="A35" s="195"/>
      <c r="B35" s="60" t="str">
        <f>IF(E37&lt;0,"Berechnung steuerlicher Verlust laut Grenzsteuersatz","Berechnung steuerlicher Gewinn laut Grenzsteuersatz")</f>
        <v>Berechnung steuerlicher Verlust laut Grenzsteuersatz</v>
      </c>
      <c r="C35" s="61"/>
      <c r="D35" s="61"/>
      <c r="E35" s="62"/>
      <c r="F35" s="195"/>
      <c r="G35" s="195"/>
      <c r="H35" s="195"/>
      <c r="I35" s="195"/>
      <c r="J35" s="195"/>
      <c r="K35" s="195"/>
      <c r="L35" s="195"/>
      <c r="M35" s="195"/>
      <c r="N35" s="195"/>
      <c r="O35" s="195"/>
      <c r="P35" s="195"/>
      <c r="Q35" s="195"/>
      <c r="R35" s="195"/>
      <c r="S35" s="195"/>
      <c r="T35" s="195"/>
      <c r="U35" s="195"/>
      <c r="V35" s="195"/>
      <c r="W35" s="195"/>
      <c r="X35" s="195"/>
      <c r="Y35" s="195"/>
      <c r="Z35" s="195"/>
    </row>
    <row r="36" spans="1:26" ht="15.5">
      <c r="A36" s="195"/>
      <c r="B36" s="229"/>
      <c r="C36" s="230"/>
      <c r="D36" s="231"/>
      <c r="E36" s="211"/>
      <c r="F36" s="195"/>
      <c r="G36" s="195"/>
      <c r="H36" s="195"/>
      <c r="I36" s="195"/>
      <c r="J36" s="195"/>
      <c r="K36" s="195"/>
      <c r="L36" s="195"/>
      <c r="M36" s="195"/>
      <c r="N36" s="195"/>
      <c r="O36" s="195"/>
      <c r="P36" s="195"/>
      <c r="Q36" s="195"/>
      <c r="R36" s="195"/>
      <c r="S36" s="195"/>
      <c r="T36" s="195"/>
      <c r="U36" s="195"/>
      <c r="V36" s="195"/>
      <c r="W36" s="195"/>
      <c r="X36" s="195"/>
      <c r="Y36" s="195"/>
      <c r="Z36" s="195"/>
    </row>
    <row r="37" spans="1:26" ht="15.5">
      <c r="A37" s="195"/>
      <c r="B37" s="201" t="str">
        <f>IF(E37&lt;0,"Anzusetzender Verlust","Anzusetzender Gewinn")</f>
        <v>Anzusetzender Verlust</v>
      </c>
      <c r="C37" s="43"/>
      <c r="D37" s="224">
        <f>E37/12</f>
        <v>-684.66985000000022</v>
      </c>
      <c r="E37" s="210">
        <f>E8-E17-E33</f>
        <v>-8216.0382000000027</v>
      </c>
      <c r="F37" s="195"/>
      <c r="G37" s="195"/>
      <c r="H37" s="195"/>
      <c r="I37" s="195"/>
      <c r="J37" s="195"/>
      <c r="K37" s="195"/>
      <c r="L37" s="195"/>
      <c r="M37" s="195"/>
      <c r="N37" s="195"/>
      <c r="O37" s="195"/>
      <c r="P37" s="195"/>
      <c r="Q37" s="195"/>
      <c r="R37" s="195"/>
      <c r="S37" s="195"/>
      <c r="T37" s="195"/>
      <c r="U37" s="195"/>
      <c r="V37" s="195"/>
      <c r="W37" s="195"/>
      <c r="X37" s="195"/>
      <c r="Y37" s="195"/>
      <c r="Z37" s="195"/>
    </row>
    <row r="38" spans="1:26" ht="16" thickBot="1">
      <c r="A38" s="195"/>
      <c r="B38" s="197"/>
      <c r="C38" s="7"/>
      <c r="D38" s="7"/>
      <c r="E38" s="203"/>
      <c r="F38" s="195"/>
      <c r="G38" s="195"/>
      <c r="H38" s="195"/>
      <c r="I38" s="195"/>
      <c r="J38" s="195"/>
      <c r="K38" s="195"/>
      <c r="L38" s="195"/>
      <c r="M38" s="195"/>
      <c r="N38" s="195"/>
      <c r="O38" s="195"/>
      <c r="P38" s="195"/>
      <c r="Q38" s="195"/>
      <c r="R38" s="195"/>
      <c r="S38" s="195"/>
      <c r="T38" s="195"/>
      <c r="U38" s="195"/>
      <c r="V38" s="195"/>
      <c r="W38" s="195"/>
      <c r="X38" s="195"/>
      <c r="Y38" s="195"/>
      <c r="Z38" s="195"/>
    </row>
    <row r="39" spans="1:26" ht="16" thickBot="1">
      <c r="A39" s="195"/>
      <c r="B39" s="63" t="str">
        <f>IF(E37&lt;0,"Steuererstattung","Steuerzahlung")</f>
        <v>Steuererstattung</v>
      </c>
      <c r="C39" s="64"/>
      <c r="D39" s="65">
        <f>E39/12</f>
        <v>-267.02124150000009</v>
      </c>
      <c r="E39" s="81">
        <f>E37*'Eingabe Immodaten'!H19</f>
        <v>-3204.254898000001</v>
      </c>
      <c r="F39" s="195"/>
      <c r="G39" s="195"/>
      <c r="H39" s="195"/>
      <c r="I39" s="195"/>
      <c r="J39" s="195"/>
      <c r="K39" s="195"/>
      <c r="L39" s="195"/>
      <c r="M39" s="195"/>
      <c r="N39" s="195"/>
      <c r="O39" s="195"/>
      <c r="P39" s="195"/>
      <c r="Q39" s="195"/>
      <c r="R39" s="195"/>
      <c r="S39" s="195"/>
      <c r="T39" s="195"/>
      <c r="U39" s="195"/>
      <c r="V39" s="195"/>
      <c r="W39" s="195"/>
      <c r="X39" s="195"/>
      <c r="Y39" s="195"/>
      <c r="Z39" s="195"/>
    </row>
    <row r="40" spans="1:26">
      <c r="A40" s="195"/>
      <c r="B40" s="196"/>
      <c r="C40" s="196"/>
      <c r="D40" s="196"/>
      <c r="E40" s="196"/>
      <c r="F40" s="195"/>
      <c r="G40" s="195"/>
      <c r="H40" s="195"/>
      <c r="I40" s="195"/>
      <c r="J40" s="195"/>
      <c r="K40" s="195"/>
      <c r="L40" s="195"/>
      <c r="M40" s="195"/>
      <c r="N40" s="195"/>
      <c r="O40" s="195"/>
      <c r="P40" s="195"/>
      <c r="Q40" s="195"/>
      <c r="R40" s="195"/>
      <c r="S40" s="195"/>
      <c r="T40" s="195"/>
      <c r="U40" s="195"/>
      <c r="V40" s="195"/>
      <c r="W40" s="195"/>
      <c r="X40" s="195"/>
      <c r="Y40" s="195"/>
      <c r="Z40" s="195"/>
    </row>
    <row r="41" spans="1:26">
      <c r="A41" s="195"/>
      <c r="B41" s="212" t="s">
        <v>226</v>
      </c>
      <c r="C41" s="196"/>
      <c r="D41" s="195"/>
      <c r="F41" s="195"/>
      <c r="G41" s="195"/>
      <c r="H41" s="195"/>
      <c r="I41" s="195"/>
      <c r="J41" s="195"/>
      <c r="K41" s="195"/>
      <c r="L41" s="195"/>
      <c r="M41" s="195"/>
      <c r="N41" s="195"/>
      <c r="O41" s="195"/>
      <c r="P41" s="195"/>
      <c r="Q41" s="195"/>
      <c r="R41" s="195"/>
      <c r="S41" s="195"/>
      <c r="T41" s="195"/>
      <c r="U41" s="195"/>
      <c r="V41" s="195"/>
      <c r="W41" s="195"/>
      <c r="X41" s="195"/>
      <c r="Y41" s="195"/>
      <c r="Z41" s="195"/>
    </row>
    <row r="42" spans="1:26">
      <c r="A42" s="195"/>
      <c r="B42" s="195"/>
      <c r="C42" s="195"/>
      <c r="D42" s="195"/>
      <c r="E42" s="195"/>
      <c r="F42" s="196"/>
      <c r="G42" s="196"/>
      <c r="H42" s="195"/>
      <c r="I42" s="195"/>
      <c r="J42" s="195"/>
      <c r="K42" s="195"/>
      <c r="L42" s="195"/>
      <c r="M42" s="195"/>
      <c r="N42" s="195"/>
      <c r="O42" s="195"/>
      <c r="P42" s="195"/>
      <c r="Q42" s="195"/>
      <c r="R42" s="195"/>
      <c r="S42" s="195"/>
      <c r="T42" s="195"/>
      <c r="U42" s="195"/>
      <c r="V42" s="195"/>
      <c r="W42" s="195"/>
      <c r="X42" s="195"/>
      <c r="Y42" s="195"/>
      <c r="Z42" s="195"/>
    </row>
    <row r="43" spans="1:26">
      <c r="A43" s="195"/>
      <c r="B43" s="588" t="s">
        <v>70</v>
      </c>
      <c r="C43" s="589"/>
      <c r="D43" s="589"/>
      <c r="E43" s="590"/>
      <c r="F43" s="195"/>
      <c r="G43" s="195"/>
      <c r="H43" s="195"/>
      <c r="I43" s="195"/>
      <c r="J43" s="195"/>
      <c r="K43" s="195"/>
      <c r="L43" s="195"/>
      <c r="M43" s="195"/>
      <c r="N43" s="195"/>
      <c r="O43" s="195"/>
      <c r="P43" s="195"/>
      <c r="Q43" s="195"/>
      <c r="R43" s="195"/>
      <c r="S43" s="195"/>
      <c r="T43" s="195"/>
      <c r="U43" s="195"/>
      <c r="V43" s="195"/>
      <c r="W43" s="195"/>
      <c r="X43" s="195"/>
      <c r="Y43" s="195"/>
      <c r="Z43" s="195"/>
    </row>
    <row r="44" spans="1:26">
      <c r="A44" s="195"/>
      <c r="B44" s="591"/>
      <c r="C44" s="592"/>
      <c r="D44" s="592"/>
      <c r="E44" s="593"/>
      <c r="F44" s="195"/>
      <c r="G44" s="195"/>
      <c r="H44" s="195"/>
      <c r="I44" s="195"/>
      <c r="J44" s="195"/>
      <c r="K44" s="195"/>
      <c r="L44" s="195"/>
      <c r="M44" s="195"/>
      <c r="N44" s="195"/>
      <c r="O44" s="195"/>
      <c r="P44" s="195"/>
      <c r="Q44" s="195"/>
      <c r="R44" s="195"/>
      <c r="S44" s="195"/>
      <c r="T44" s="195"/>
      <c r="U44" s="195"/>
      <c r="V44" s="195"/>
      <c r="W44" s="195"/>
      <c r="X44" s="195"/>
      <c r="Y44" s="195"/>
      <c r="Z44" s="195"/>
    </row>
    <row r="45" spans="1:26">
      <c r="A45" s="195"/>
      <c r="B45" s="591"/>
      <c r="C45" s="592"/>
      <c r="D45" s="592"/>
      <c r="E45" s="593"/>
      <c r="F45" s="195"/>
      <c r="G45" s="195"/>
      <c r="H45" s="195"/>
      <c r="I45" s="195"/>
      <c r="J45" s="195"/>
      <c r="K45" s="195"/>
      <c r="L45" s="195"/>
      <c r="M45" s="195"/>
      <c r="N45" s="195"/>
      <c r="O45" s="195"/>
      <c r="P45" s="195"/>
      <c r="Q45" s="195"/>
      <c r="R45" s="195"/>
      <c r="S45" s="195"/>
      <c r="T45" s="195"/>
      <c r="U45" s="195"/>
      <c r="V45" s="195"/>
      <c r="W45" s="195"/>
      <c r="X45" s="195"/>
      <c r="Y45" s="195"/>
      <c r="Z45" s="195"/>
    </row>
    <row r="46" spans="1:26">
      <c r="A46" s="195"/>
      <c r="B46" s="594"/>
      <c r="C46" s="595"/>
      <c r="D46" s="595"/>
      <c r="E46" s="596"/>
      <c r="F46" s="195"/>
      <c r="G46" s="195"/>
      <c r="H46" s="195"/>
      <c r="I46" s="195"/>
      <c r="J46" s="195"/>
      <c r="K46" s="195"/>
      <c r="L46" s="195"/>
      <c r="M46" s="195"/>
      <c r="N46" s="195"/>
      <c r="O46" s="195"/>
      <c r="P46" s="195"/>
      <c r="Q46" s="195"/>
      <c r="R46" s="195"/>
      <c r="S46" s="195"/>
      <c r="T46" s="195"/>
      <c r="U46" s="195"/>
      <c r="V46" s="195"/>
      <c r="W46" s="195"/>
      <c r="X46" s="195"/>
      <c r="Y46" s="195"/>
      <c r="Z46" s="195"/>
    </row>
    <row r="47" spans="1:26">
      <c r="A47" s="195"/>
      <c r="B47" s="195"/>
      <c r="C47" s="195"/>
      <c r="D47" s="195"/>
      <c r="E47" s="195"/>
      <c r="F47" s="195"/>
      <c r="G47" s="195"/>
      <c r="H47" s="195"/>
      <c r="I47" s="195"/>
      <c r="J47" s="195"/>
      <c r="K47" s="195"/>
      <c r="L47" s="195"/>
      <c r="M47" s="195"/>
      <c r="N47" s="195"/>
      <c r="O47" s="195"/>
      <c r="P47" s="195"/>
      <c r="Q47" s="195"/>
      <c r="R47" s="195"/>
      <c r="S47" s="195"/>
      <c r="T47" s="195"/>
      <c r="U47" s="195"/>
      <c r="V47" s="195"/>
      <c r="W47" s="195"/>
      <c r="X47" s="195"/>
      <c r="Y47" s="195"/>
      <c r="Z47" s="195"/>
    </row>
    <row r="48" spans="1:26">
      <c r="A48" s="195"/>
      <c r="B48" s="195"/>
      <c r="C48" s="195"/>
      <c r="D48" s="195"/>
      <c r="E48" s="195"/>
      <c r="F48" s="195"/>
      <c r="G48" s="195"/>
      <c r="H48" s="195"/>
      <c r="I48" s="195"/>
      <c r="J48" s="195"/>
      <c r="K48" s="195"/>
      <c r="L48" s="195"/>
      <c r="M48" s="195"/>
      <c r="N48" s="195"/>
      <c r="O48" s="195"/>
      <c r="P48" s="195"/>
      <c r="Q48" s="195"/>
      <c r="R48" s="195"/>
      <c r="S48" s="195"/>
      <c r="T48" s="195"/>
      <c r="U48" s="195"/>
      <c r="V48" s="195"/>
      <c r="W48" s="195"/>
      <c r="X48" s="195"/>
      <c r="Y48" s="195"/>
      <c r="Z48" s="195"/>
    </row>
    <row r="49" spans="1:26">
      <c r="A49" s="195"/>
      <c r="B49" s="586"/>
      <c r="C49" s="587"/>
      <c r="D49" s="587"/>
      <c r="E49" s="587"/>
      <c r="F49" s="195"/>
      <c r="G49" s="195"/>
      <c r="H49" s="195"/>
      <c r="I49" s="195"/>
      <c r="J49" s="195"/>
      <c r="K49" s="195"/>
      <c r="L49" s="195"/>
      <c r="M49" s="195"/>
      <c r="N49" s="195"/>
      <c r="O49" s="195"/>
      <c r="P49" s="195"/>
      <c r="Q49" s="195"/>
      <c r="R49" s="195"/>
      <c r="S49" s="195"/>
      <c r="T49" s="195"/>
      <c r="U49" s="195"/>
      <c r="V49" s="195"/>
      <c r="W49" s="195"/>
      <c r="X49" s="195"/>
      <c r="Y49" s="195"/>
      <c r="Z49" s="195"/>
    </row>
    <row r="50" spans="1:26">
      <c r="A50" s="195"/>
      <c r="B50" s="195"/>
      <c r="C50" s="195"/>
      <c r="D50" s="195"/>
      <c r="E50" s="195"/>
      <c r="F50" s="195"/>
      <c r="G50" s="195"/>
      <c r="H50" s="195"/>
      <c r="I50" s="195"/>
      <c r="J50" s="195"/>
      <c r="K50" s="195"/>
      <c r="L50" s="195"/>
      <c r="M50" s="195"/>
      <c r="N50" s="195"/>
      <c r="O50" s="195"/>
      <c r="P50" s="195"/>
      <c r="Q50" s="195"/>
      <c r="R50" s="195"/>
      <c r="S50" s="195"/>
      <c r="T50" s="195"/>
      <c r="U50" s="195"/>
      <c r="V50" s="195"/>
      <c r="W50" s="195"/>
      <c r="X50" s="195"/>
      <c r="Y50" s="195"/>
      <c r="Z50" s="195"/>
    </row>
    <row r="51" spans="1:26">
      <c r="A51" s="195"/>
      <c r="B51" s="195"/>
      <c r="C51" s="195"/>
      <c r="D51" s="195"/>
      <c r="E51" s="195"/>
      <c r="F51" s="195"/>
      <c r="G51" s="195"/>
      <c r="H51" s="195"/>
      <c r="I51" s="195"/>
      <c r="J51" s="195"/>
      <c r="K51" s="195"/>
      <c r="L51" s="195"/>
      <c r="M51" s="195"/>
      <c r="N51" s="195"/>
      <c r="O51" s="195"/>
      <c r="P51" s="195"/>
      <c r="Q51" s="195"/>
      <c r="R51" s="195"/>
      <c r="S51" s="195"/>
      <c r="T51" s="195"/>
      <c r="U51" s="195"/>
      <c r="V51" s="195"/>
      <c r="W51" s="195"/>
      <c r="X51" s="195"/>
      <c r="Y51" s="195"/>
      <c r="Z51" s="195"/>
    </row>
    <row r="52" spans="1:26" ht="17.5">
      <c r="A52" s="195"/>
      <c r="B52" s="195"/>
      <c r="C52" s="195"/>
      <c r="D52" s="195"/>
      <c r="E52" s="195"/>
      <c r="F52" s="195"/>
      <c r="G52" s="195"/>
      <c r="H52" s="195"/>
      <c r="I52" s="195"/>
      <c r="J52" s="195"/>
      <c r="K52" s="195"/>
      <c r="L52" s="195"/>
      <c r="M52" s="195"/>
      <c r="N52" s="214"/>
      <c r="O52" s="195"/>
      <c r="P52" s="195"/>
      <c r="Q52" s="195"/>
      <c r="R52" s="195"/>
      <c r="S52" s="195"/>
      <c r="T52" s="195"/>
      <c r="U52" s="195"/>
      <c r="V52" s="195"/>
      <c r="W52" s="195"/>
      <c r="X52" s="195"/>
      <c r="Y52" s="195"/>
      <c r="Z52" s="195"/>
    </row>
    <row r="53" spans="1:26">
      <c r="A53" s="195"/>
      <c r="B53" s="195"/>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row>
    <row r="54" spans="1:26">
      <c r="A54" s="195"/>
      <c r="B54" s="195"/>
      <c r="C54" s="195"/>
      <c r="D54" s="195"/>
      <c r="E54" s="195"/>
      <c r="F54" s="195"/>
      <c r="G54" s="195"/>
      <c r="H54" s="195"/>
      <c r="I54" s="195"/>
      <c r="J54" s="195"/>
      <c r="K54" s="195"/>
      <c r="L54" s="195"/>
      <c r="M54" s="195"/>
      <c r="N54" s="215"/>
      <c r="O54" s="215"/>
      <c r="P54" s="216"/>
      <c r="Q54" s="195"/>
      <c r="R54" s="195"/>
      <c r="S54" s="195"/>
      <c r="T54" s="195"/>
      <c r="U54" s="195"/>
      <c r="V54" s="195"/>
      <c r="W54" s="195"/>
      <c r="X54" s="195"/>
      <c r="Y54" s="195"/>
      <c r="Z54" s="195"/>
    </row>
    <row r="55" spans="1:26">
      <c r="A55" s="195"/>
      <c r="B55" s="195"/>
      <c r="C55" s="195"/>
      <c r="D55" s="195"/>
      <c r="E55" s="195"/>
      <c r="F55" s="195"/>
      <c r="G55" s="195"/>
      <c r="H55" s="195"/>
      <c r="I55" s="195"/>
      <c r="J55" s="195"/>
      <c r="K55" s="195"/>
      <c r="L55" s="195"/>
      <c r="M55" s="195"/>
      <c r="N55" s="216"/>
      <c r="O55" s="215"/>
      <c r="P55" s="216"/>
      <c r="Q55" s="195"/>
      <c r="R55" s="195"/>
      <c r="S55" s="195"/>
      <c r="T55" s="195"/>
      <c r="U55" s="195"/>
      <c r="V55" s="195"/>
      <c r="W55" s="195"/>
      <c r="X55" s="195"/>
      <c r="Y55" s="195"/>
      <c r="Z55" s="195"/>
    </row>
    <row r="56" spans="1:26">
      <c r="A56" s="195"/>
      <c r="B56" s="195"/>
      <c r="C56" s="195"/>
      <c r="D56" s="195"/>
      <c r="E56" s="195"/>
      <c r="F56" s="195"/>
      <c r="G56" s="195"/>
      <c r="H56" s="195"/>
      <c r="I56" s="195"/>
      <c r="J56" s="195"/>
      <c r="K56" s="195"/>
      <c r="L56" s="195"/>
      <c r="M56" s="195"/>
      <c r="N56" s="216"/>
      <c r="O56" s="215"/>
      <c r="P56" s="215"/>
      <c r="Q56" s="195"/>
      <c r="R56" s="195"/>
      <c r="S56" s="195"/>
      <c r="T56" s="195"/>
      <c r="U56" s="195"/>
      <c r="V56" s="195"/>
      <c r="W56" s="195"/>
      <c r="X56" s="195"/>
      <c r="Y56" s="195"/>
      <c r="Z56" s="195"/>
    </row>
    <row r="57" spans="1:26">
      <c r="A57" s="195"/>
      <c r="B57" s="195"/>
      <c r="C57" s="195"/>
      <c r="D57" s="195"/>
      <c r="E57" s="195"/>
      <c r="F57" s="195"/>
      <c r="G57" s="195"/>
      <c r="H57" s="195"/>
      <c r="I57" s="195"/>
      <c r="J57" s="195"/>
      <c r="K57" s="195"/>
      <c r="L57" s="195"/>
      <c r="M57" s="195"/>
      <c r="N57" s="216"/>
      <c r="O57" s="215"/>
      <c r="P57" s="216"/>
      <c r="Q57" s="195"/>
      <c r="R57" s="195"/>
      <c r="S57" s="195"/>
      <c r="T57" s="195"/>
      <c r="U57" s="195"/>
      <c r="V57" s="195"/>
      <c r="W57" s="195"/>
      <c r="X57" s="195"/>
      <c r="Y57" s="195"/>
      <c r="Z57" s="195"/>
    </row>
    <row r="58" spans="1:26">
      <c r="A58" s="195"/>
      <c r="B58" s="195"/>
      <c r="C58" s="195"/>
      <c r="D58" s="195"/>
      <c r="E58" s="195"/>
      <c r="F58" s="195"/>
      <c r="G58" s="195"/>
      <c r="H58" s="195"/>
      <c r="I58" s="195"/>
      <c r="J58" s="195"/>
      <c r="K58" s="195"/>
      <c r="L58" s="195"/>
      <c r="M58" s="195"/>
      <c r="N58" s="216"/>
      <c r="O58" s="215"/>
      <c r="P58" s="215"/>
      <c r="Q58" s="195"/>
      <c r="R58" s="195"/>
      <c r="S58" s="195"/>
      <c r="T58" s="195"/>
      <c r="U58" s="195"/>
      <c r="V58" s="195"/>
      <c r="W58" s="195"/>
      <c r="X58" s="195"/>
      <c r="Y58" s="195"/>
      <c r="Z58" s="195"/>
    </row>
    <row r="59" spans="1:26">
      <c r="A59" s="195"/>
      <c r="B59" s="195"/>
      <c r="C59" s="195"/>
      <c r="D59" s="195"/>
      <c r="E59" s="195"/>
      <c r="F59" s="195"/>
      <c r="G59" s="195"/>
      <c r="H59" s="195"/>
      <c r="I59" s="195"/>
      <c r="J59" s="195"/>
      <c r="K59" s="195"/>
      <c r="L59" s="195"/>
      <c r="M59" s="195"/>
      <c r="N59" s="216"/>
      <c r="O59" s="215"/>
      <c r="P59" s="215"/>
      <c r="Q59" s="195"/>
      <c r="R59" s="195"/>
      <c r="S59" s="195"/>
      <c r="T59" s="195"/>
      <c r="U59" s="195"/>
      <c r="V59" s="195"/>
      <c r="W59" s="195"/>
      <c r="X59" s="195"/>
      <c r="Y59" s="195"/>
      <c r="Z59" s="195"/>
    </row>
    <row r="60" spans="1:26">
      <c r="A60" s="195"/>
      <c r="B60" s="195"/>
      <c r="C60" s="195"/>
      <c r="D60" s="195"/>
      <c r="E60" s="195"/>
      <c r="F60" s="195"/>
      <c r="G60" s="195"/>
      <c r="H60" s="195"/>
      <c r="I60" s="195"/>
      <c r="J60" s="195"/>
      <c r="K60" s="195"/>
      <c r="L60" s="195"/>
      <c r="M60" s="195"/>
      <c r="N60" s="216"/>
      <c r="O60" s="215"/>
      <c r="P60" s="215"/>
      <c r="Q60" s="195"/>
      <c r="R60" s="195"/>
      <c r="S60" s="195"/>
      <c r="T60" s="195"/>
      <c r="U60" s="195"/>
      <c r="V60" s="195"/>
      <c r="W60" s="195"/>
      <c r="X60" s="195"/>
      <c r="Y60" s="195"/>
      <c r="Z60" s="195"/>
    </row>
    <row r="61" spans="1:26">
      <c r="A61" s="195"/>
      <c r="B61" s="195"/>
      <c r="C61" s="195"/>
      <c r="D61" s="195"/>
      <c r="E61" s="195"/>
      <c r="F61" s="195"/>
      <c r="G61" s="195"/>
      <c r="H61" s="195"/>
      <c r="I61" s="195"/>
      <c r="J61" s="195"/>
      <c r="K61" s="195"/>
      <c r="L61" s="195"/>
      <c r="M61" s="195"/>
      <c r="N61" s="216"/>
      <c r="O61" s="215"/>
      <c r="P61" s="215"/>
      <c r="Q61" s="195"/>
      <c r="R61" s="195"/>
      <c r="S61" s="195"/>
      <c r="T61" s="195"/>
      <c r="U61" s="195"/>
      <c r="V61" s="195"/>
      <c r="W61" s="195"/>
      <c r="X61" s="195"/>
      <c r="Y61" s="195"/>
      <c r="Z61" s="195"/>
    </row>
    <row r="62" spans="1:26">
      <c r="A62" s="195"/>
      <c r="B62" s="195"/>
      <c r="C62" s="195"/>
      <c r="D62" s="195"/>
      <c r="E62" s="195"/>
      <c r="F62" s="195"/>
      <c r="G62" s="195"/>
      <c r="H62" s="195"/>
      <c r="I62" s="195"/>
      <c r="J62" s="195"/>
      <c r="K62" s="195"/>
      <c r="L62" s="195"/>
      <c r="M62" s="195"/>
      <c r="N62" s="216"/>
      <c r="O62" s="215"/>
      <c r="P62" s="216"/>
      <c r="Q62" s="195"/>
      <c r="R62" s="195"/>
      <c r="S62" s="195"/>
      <c r="T62" s="195"/>
      <c r="U62" s="195"/>
      <c r="V62" s="195"/>
      <c r="W62" s="195"/>
      <c r="X62" s="195"/>
      <c r="Y62" s="195"/>
      <c r="Z62" s="195"/>
    </row>
    <row r="63" spans="1:26">
      <c r="A63" s="195"/>
      <c r="B63" s="195"/>
      <c r="C63" s="195"/>
      <c r="D63" s="195"/>
      <c r="E63" s="195"/>
      <c r="F63" s="195"/>
      <c r="G63" s="195"/>
      <c r="H63" s="195"/>
      <c r="I63" s="195"/>
      <c r="J63" s="195"/>
      <c r="K63" s="195"/>
      <c r="L63" s="195"/>
      <c r="M63" s="195"/>
      <c r="N63" s="216"/>
      <c r="O63" s="215"/>
      <c r="P63" s="215"/>
      <c r="Q63" s="195"/>
      <c r="R63" s="195"/>
      <c r="S63" s="195"/>
      <c r="T63" s="195"/>
      <c r="U63" s="195"/>
      <c r="V63" s="195"/>
      <c r="W63" s="195"/>
      <c r="X63" s="195"/>
      <c r="Y63" s="195"/>
      <c r="Z63" s="195"/>
    </row>
    <row r="64" spans="1:26">
      <c r="A64" s="195"/>
      <c r="B64" s="195"/>
      <c r="C64" s="195"/>
      <c r="D64" s="195"/>
      <c r="E64" s="195"/>
      <c r="F64" s="195"/>
      <c r="G64" s="195"/>
      <c r="H64" s="195"/>
      <c r="I64" s="195"/>
      <c r="J64" s="195"/>
      <c r="K64" s="195"/>
      <c r="L64" s="195"/>
      <c r="M64" s="195"/>
      <c r="N64" s="216"/>
      <c r="O64" s="215"/>
      <c r="P64" s="215"/>
      <c r="Q64" s="195"/>
      <c r="R64" s="195"/>
      <c r="S64" s="195"/>
      <c r="T64" s="195"/>
      <c r="U64" s="195"/>
      <c r="V64" s="195"/>
      <c r="W64" s="195"/>
      <c r="X64" s="195"/>
      <c r="Y64" s="195"/>
      <c r="Z64" s="195"/>
    </row>
    <row r="65" spans="1:26">
      <c r="A65" s="195"/>
      <c r="B65" s="195"/>
      <c r="C65" s="195"/>
      <c r="D65" s="195"/>
      <c r="E65" s="195"/>
      <c r="F65" s="195"/>
      <c r="G65" s="195"/>
      <c r="H65" s="195"/>
      <c r="I65" s="195"/>
      <c r="J65" s="195"/>
      <c r="K65" s="195"/>
      <c r="L65" s="195"/>
      <c r="M65" s="195"/>
      <c r="N65" s="216"/>
      <c r="O65" s="215"/>
      <c r="P65" s="215"/>
      <c r="Q65" s="195"/>
      <c r="R65" s="195"/>
      <c r="S65" s="195"/>
      <c r="T65" s="195"/>
      <c r="U65" s="195"/>
      <c r="V65" s="195"/>
      <c r="W65" s="195"/>
      <c r="X65" s="195"/>
      <c r="Y65" s="195"/>
      <c r="Z65" s="195"/>
    </row>
    <row r="66" spans="1:26">
      <c r="A66" s="195"/>
      <c r="B66" s="195"/>
      <c r="C66" s="195"/>
      <c r="D66" s="195"/>
      <c r="E66" s="195"/>
      <c r="F66" s="195"/>
      <c r="G66" s="195"/>
      <c r="H66" s="195"/>
      <c r="I66" s="195"/>
      <c r="J66" s="195"/>
      <c r="K66" s="195"/>
      <c r="L66" s="195"/>
      <c r="M66" s="195"/>
      <c r="N66" s="216"/>
      <c r="O66" s="215"/>
      <c r="P66" s="215"/>
      <c r="Q66" s="195"/>
      <c r="R66" s="195"/>
      <c r="S66" s="195"/>
      <c r="T66" s="195"/>
      <c r="U66" s="195"/>
      <c r="V66" s="195"/>
      <c r="W66" s="195"/>
      <c r="X66" s="195"/>
      <c r="Y66" s="195"/>
      <c r="Z66" s="195"/>
    </row>
    <row r="67" spans="1:26">
      <c r="A67" s="195"/>
      <c r="B67" s="195"/>
      <c r="C67" s="195"/>
      <c r="D67" s="195"/>
      <c r="E67" s="195"/>
      <c r="F67" s="195"/>
      <c r="G67" s="195"/>
      <c r="H67" s="195"/>
      <c r="I67" s="195"/>
      <c r="J67" s="195"/>
      <c r="K67" s="195"/>
      <c r="L67" s="195"/>
      <c r="M67" s="195"/>
      <c r="N67" s="216"/>
      <c r="O67" s="215"/>
      <c r="P67" s="215"/>
      <c r="Q67" s="195"/>
      <c r="R67" s="195"/>
      <c r="S67" s="195"/>
      <c r="T67" s="195"/>
      <c r="U67" s="195"/>
      <c r="V67" s="195"/>
      <c r="W67" s="195"/>
      <c r="X67" s="195"/>
      <c r="Y67" s="195"/>
      <c r="Z67" s="195"/>
    </row>
    <row r="68" spans="1:26">
      <c r="A68" s="195"/>
      <c r="B68" s="195"/>
      <c r="C68" s="195"/>
      <c r="D68" s="195"/>
      <c r="E68" s="195"/>
      <c r="F68" s="195"/>
      <c r="G68" s="195"/>
      <c r="H68" s="195"/>
      <c r="I68" s="195"/>
      <c r="J68" s="195"/>
      <c r="K68" s="195"/>
      <c r="L68" s="195"/>
      <c r="M68" s="195"/>
      <c r="N68" s="195"/>
      <c r="O68" s="195"/>
      <c r="P68" s="195"/>
      <c r="Q68" s="195"/>
      <c r="R68" s="195"/>
      <c r="S68" s="195"/>
      <c r="T68" s="195"/>
      <c r="U68" s="195"/>
      <c r="V68" s="195"/>
      <c r="W68" s="195"/>
      <c r="X68" s="195"/>
      <c r="Y68" s="195"/>
      <c r="Z68" s="195"/>
    </row>
    <row r="69" spans="1:26">
      <c r="A69" s="195"/>
      <c r="B69" s="195"/>
      <c r="C69" s="195"/>
      <c r="D69" s="195"/>
      <c r="E69" s="195"/>
      <c r="F69" s="195"/>
      <c r="G69" s="195"/>
      <c r="H69" s="195"/>
      <c r="I69" s="195"/>
      <c r="J69" s="195"/>
      <c r="K69" s="195"/>
      <c r="L69" s="195"/>
      <c r="M69" s="195"/>
      <c r="N69" s="195"/>
      <c r="O69" s="195"/>
      <c r="P69" s="195"/>
      <c r="Q69" s="195"/>
      <c r="R69" s="195"/>
      <c r="S69" s="195"/>
      <c r="T69" s="195"/>
      <c r="U69" s="195"/>
      <c r="V69" s="195"/>
      <c r="W69" s="195"/>
      <c r="X69" s="195"/>
      <c r="Y69" s="195"/>
      <c r="Z69" s="195"/>
    </row>
    <row r="70" spans="1:26">
      <c r="A70" s="195"/>
      <c r="B70" s="195"/>
      <c r="C70" s="195"/>
      <c r="D70" s="195"/>
      <c r="E70" s="195"/>
      <c r="F70" s="195"/>
      <c r="G70" s="195"/>
      <c r="H70" s="195"/>
      <c r="I70" s="195"/>
      <c r="J70" s="195"/>
      <c r="K70" s="195"/>
      <c r="L70" s="195"/>
      <c r="M70" s="195"/>
      <c r="N70" s="195"/>
      <c r="O70" s="195"/>
      <c r="P70" s="195"/>
      <c r="Q70" s="195"/>
      <c r="R70" s="195"/>
      <c r="S70" s="195"/>
      <c r="T70" s="195"/>
      <c r="U70" s="195"/>
      <c r="V70" s="195"/>
      <c r="W70" s="195"/>
      <c r="X70" s="195"/>
      <c r="Y70" s="195"/>
      <c r="Z70" s="195"/>
    </row>
    <row r="71" spans="1:26">
      <c r="A71" s="195"/>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row>
    <row r="72" spans="1:26">
      <c r="A72" s="195"/>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row>
    <row r="73" spans="1:26">
      <c r="A73" s="195"/>
      <c r="B73" s="195"/>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row>
    <row r="74" spans="1:26">
      <c r="A74" s="195"/>
      <c r="B74" s="195"/>
      <c r="C74" s="195"/>
      <c r="D74" s="195"/>
      <c r="E74" s="195"/>
      <c r="F74" s="195"/>
      <c r="G74" s="195"/>
      <c r="H74" s="195"/>
      <c r="I74" s="195"/>
      <c r="J74" s="195"/>
      <c r="K74" s="195"/>
      <c r="L74" s="195"/>
      <c r="M74" s="195"/>
      <c r="N74" s="195"/>
      <c r="O74" s="195"/>
      <c r="P74" s="195"/>
      <c r="Q74" s="195"/>
      <c r="R74" s="195"/>
      <c r="S74" s="195"/>
      <c r="T74" s="195"/>
      <c r="U74" s="195"/>
      <c r="V74" s="195"/>
      <c r="W74" s="195"/>
      <c r="X74" s="195"/>
      <c r="Y74" s="195"/>
      <c r="Z74" s="195"/>
    </row>
    <row r="75" spans="1:26">
      <c r="A75" s="195"/>
      <c r="B75" s="195"/>
      <c r="C75" s="195"/>
      <c r="D75" s="195"/>
      <c r="E75" s="195"/>
      <c r="F75" s="195"/>
      <c r="G75" s="195"/>
      <c r="H75" s="195"/>
      <c r="I75" s="195"/>
      <c r="J75" s="195"/>
      <c r="K75" s="195"/>
      <c r="L75" s="195"/>
      <c r="M75" s="195"/>
      <c r="N75" s="195"/>
      <c r="O75" s="195"/>
      <c r="P75" s="195"/>
      <c r="Q75" s="195"/>
      <c r="R75" s="195"/>
      <c r="S75" s="195"/>
      <c r="T75" s="195"/>
      <c r="U75" s="195"/>
      <c r="V75" s="195"/>
      <c r="W75" s="195"/>
      <c r="X75" s="195"/>
      <c r="Y75" s="195"/>
      <c r="Z75" s="195"/>
    </row>
    <row r="76" spans="1:26">
      <c r="A76" s="195"/>
      <c r="B76" s="195"/>
      <c r="C76" s="195"/>
      <c r="D76" s="195"/>
      <c r="E76" s="195"/>
      <c r="F76" s="195"/>
      <c r="G76" s="195"/>
      <c r="H76" s="195"/>
      <c r="I76" s="195"/>
      <c r="J76" s="195"/>
      <c r="K76" s="195"/>
      <c r="L76" s="195"/>
      <c r="M76" s="195"/>
      <c r="N76" s="195"/>
      <c r="O76" s="195"/>
      <c r="P76" s="195"/>
      <c r="Q76" s="195"/>
      <c r="R76" s="195"/>
      <c r="S76" s="195"/>
      <c r="T76" s="195"/>
      <c r="U76" s="195"/>
      <c r="V76" s="195"/>
      <c r="W76" s="195"/>
      <c r="X76" s="195"/>
      <c r="Y76" s="195"/>
      <c r="Z76" s="195"/>
    </row>
    <row r="77" spans="1:26">
      <c r="A77" s="195"/>
      <c r="B77" s="195"/>
      <c r="C77" s="195"/>
      <c r="D77" s="195"/>
      <c r="E77" s="195"/>
      <c r="F77" s="195"/>
      <c r="G77" s="195"/>
      <c r="H77" s="195"/>
      <c r="I77" s="195"/>
      <c r="J77" s="195"/>
      <c r="K77" s="195"/>
      <c r="L77" s="195"/>
      <c r="M77" s="195"/>
      <c r="N77" s="195"/>
      <c r="O77" s="195"/>
      <c r="P77" s="195"/>
      <c r="Q77" s="195"/>
      <c r="R77" s="195"/>
      <c r="S77" s="195"/>
      <c r="T77" s="195"/>
      <c r="U77" s="195"/>
      <c r="V77" s="195"/>
      <c r="W77" s="195"/>
      <c r="X77" s="195"/>
      <c r="Y77" s="195"/>
      <c r="Z77" s="195"/>
    </row>
    <row r="78" spans="1:26">
      <c r="A78" s="195"/>
      <c r="B78" s="195"/>
      <c r="C78" s="195"/>
      <c r="D78" s="195"/>
      <c r="E78" s="195"/>
      <c r="F78" s="195"/>
      <c r="G78" s="195"/>
      <c r="H78" s="195"/>
      <c r="I78" s="195"/>
      <c r="J78" s="195"/>
      <c r="K78" s="195"/>
      <c r="L78" s="195"/>
      <c r="M78" s="195"/>
      <c r="N78" s="195"/>
      <c r="O78" s="195"/>
      <c r="P78" s="195"/>
      <c r="Q78" s="195"/>
      <c r="R78" s="195"/>
      <c r="S78" s="195"/>
      <c r="T78" s="195"/>
      <c r="U78" s="195"/>
      <c r="V78" s="195"/>
      <c r="W78" s="195"/>
      <c r="X78" s="195"/>
      <c r="Y78" s="195"/>
      <c r="Z78" s="195"/>
    </row>
    <row r="79" spans="1:26">
      <c r="A79" s="195"/>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c r="Z79" s="195"/>
    </row>
    <row r="80" spans="1:26">
      <c r="A80" s="195"/>
      <c r="B80" s="195"/>
      <c r="C80" s="195"/>
      <c r="D80" s="195"/>
      <c r="E80" s="195"/>
      <c r="F80" s="195"/>
      <c r="G80" s="195"/>
      <c r="H80" s="195"/>
      <c r="I80" s="195"/>
      <c r="J80" s="195"/>
      <c r="K80" s="195"/>
      <c r="L80" s="195"/>
      <c r="M80" s="195"/>
      <c r="N80" s="195"/>
      <c r="O80" s="195"/>
      <c r="P80" s="195"/>
      <c r="Q80" s="195"/>
      <c r="R80" s="195"/>
      <c r="S80" s="195"/>
      <c r="T80" s="195"/>
      <c r="U80" s="195"/>
      <c r="V80" s="195"/>
      <c r="W80" s="195"/>
      <c r="X80" s="195"/>
      <c r="Y80" s="195"/>
      <c r="Z80" s="195"/>
    </row>
    <row r="81" spans="1:26">
      <c r="A81" s="195"/>
      <c r="B81" s="195"/>
      <c r="C81" s="195"/>
      <c r="D81" s="195"/>
      <c r="E81" s="195"/>
      <c r="F81" s="195"/>
      <c r="G81" s="195"/>
      <c r="H81" s="195"/>
      <c r="I81" s="195"/>
      <c r="J81" s="195"/>
      <c r="K81" s="195"/>
      <c r="L81" s="195"/>
      <c r="M81" s="195"/>
      <c r="N81" s="195"/>
      <c r="O81" s="195"/>
      <c r="P81" s="195"/>
      <c r="Q81" s="195"/>
      <c r="R81" s="195"/>
      <c r="S81" s="195"/>
      <c r="T81" s="195"/>
      <c r="U81" s="195"/>
      <c r="V81" s="195"/>
      <c r="W81" s="195"/>
      <c r="X81" s="195"/>
      <c r="Y81" s="195"/>
      <c r="Z81" s="195"/>
    </row>
    <row r="82" spans="1:26">
      <c r="A82" s="195"/>
      <c r="B82" s="195"/>
      <c r="C82" s="195"/>
      <c r="D82" s="195"/>
      <c r="E82" s="195"/>
      <c r="F82" s="195"/>
      <c r="G82" s="195"/>
      <c r="H82" s="195"/>
      <c r="I82" s="195"/>
      <c r="J82" s="195"/>
      <c r="K82" s="195"/>
      <c r="L82" s="195"/>
      <c r="M82" s="195"/>
      <c r="N82" s="195"/>
      <c r="O82" s="195"/>
      <c r="P82" s="195"/>
      <c r="Q82" s="195"/>
      <c r="R82" s="195"/>
      <c r="S82" s="195"/>
      <c r="T82" s="195"/>
      <c r="U82" s="195"/>
      <c r="V82" s="195"/>
      <c r="W82" s="195"/>
      <c r="X82" s="195"/>
      <c r="Y82" s="195"/>
      <c r="Z82" s="195"/>
    </row>
    <row r="83" spans="1:26">
      <c r="A83" s="195"/>
      <c r="B83" s="195"/>
      <c r="C83" s="195"/>
      <c r="D83" s="195"/>
      <c r="E83" s="195"/>
      <c r="F83" s="195"/>
      <c r="G83" s="195"/>
      <c r="H83" s="195"/>
      <c r="I83" s="195"/>
      <c r="J83" s="195"/>
      <c r="K83" s="195"/>
      <c r="L83" s="195"/>
      <c r="M83" s="195"/>
      <c r="N83" s="195"/>
      <c r="O83" s="195"/>
      <c r="P83" s="195"/>
      <c r="Q83" s="195"/>
      <c r="R83" s="195"/>
      <c r="S83" s="195"/>
      <c r="T83" s="195"/>
      <c r="U83" s="195"/>
      <c r="V83" s="195"/>
      <c r="W83" s="195"/>
      <c r="X83" s="195"/>
      <c r="Y83" s="195"/>
      <c r="Z83" s="195"/>
    </row>
    <row r="84" spans="1:26">
      <c r="A84" s="195"/>
      <c r="B84" s="195"/>
      <c r="C84" s="195"/>
      <c r="D84" s="195"/>
      <c r="E84" s="195"/>
      <c r="F84" s="195"/>
      <c r="G84" s="195"/>
      <c r="H84" s="195"/>
      <c r="I84" s="195"/>
      <c r="J84" s="195"/>
      <c r="K84" s="195"/>
      <c r="L84" s="195"/>
      <c r="M84" s="195"/>
      <c r="N84" s="195"/>
      <c r="O84" s="195"/>
      <c r="P84" s="195"/>
      <c r="Q84" s="195"/>
      <c r="R84" s="195"/>
      <c r="S84" s="195"/>
      <c r="T84" s="195"/>
      <c r="U84" s="195"/>
      <c r="V84" s="195"/>
      <c r="W84" s="195"/>
      <c r="X84" s="195"/>
      <c r="Y84" s="195"/>
      <c r="Z84" s="195"/>
    </row>
    <row r="85" spans="1:26">
      <c r="A85" s="195"/>
      <c r="B85" s="195"/>
      <c r="C85" s="195"/>
      <c r="D85" s="195"/>
      <c r="E85" s="195"/>
      <c r="F85" s="195"/>
      <c r="G85" s="195"/>
      <c r="H85" s="195"/>
      <c r="I85" s="195"/>
      <c r="J85" s="195"/>
      <c r="K85" s="195"/>
      <c r="L85" s="195"/>
      <c r="M85" s="195"/>
      <c r="N85" s="195"/>
      <c r="O85" s="195"/>
      <c r="P85" s="195"/>
      <c r="Q85" s="195"/>
      <c r="R85" s="195"/>
      <c r="S85" s="195"/>
      <c r="T85" s="195"/>
      <c r="U85" s="195"/>
      <c r="V85" s="195"/>
      <c r="W85" s="195"/>
      <c r="X85" s="195"/>
      <c r="Y85" s="195"/>
      <c r="Z85" s="195"/>
    </row>
    <row r="86" spans="1:26">
      <c r="A86" s="195"/>
      <c r="B86" s="195"/>
      <c r="C86" s="195"/>
      <c r="D86" s="195"/>
      <c r="E86" s="195"/>
      <c r="F86" s="195"/>
      <c r="G86" s="195"/>
      <c r="H86" s="195"/>
      <c r="I86" s="195"/>
      <c r="J86" s="195"/>
      <c r="K86" s="195"/>
      <c r="L86" s="195"/>
      <c r="M86" s="195"/>
      <c r="N86" s="195"/>
      <c r="O86" s="195"/>
      <c r="P86" s="195"/>
      <c r="Q86" s="195"/>
      <c r="R86" s="195"/>
      <c r="S86" s="195"/>
      <c r="T86" s="195"/>
      <c r="U86" s="195"/>
      <c r="V86" s="195"/>
      <c r="W86" s="195"/>
      <c r="X86" s="195"/>
      <c r="Y86" s="195"/>
      <c r="Z86" s="195"/>
    </row>
    <row r="87" spans="1:26">
      <c r="A87" s="195"/>
      <c r="B87" s="195"/>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row>
    <row r="88" spans="1:26">
      <c r="A88" s="195"/>
      <c r="B88" s="195"/>
      <c r="C88" s="195"/>
      <c r="D88" s="195"/>
      <c r="E88" s="195"/>
      <c r="F88" s="195"/>
      <c r="G88" s="195"/>
      <c r="H88" s="195"/>
      <c r="I88" s="195"/>
      <c r="J88" s="195"/>
      <c r="K88" s="195"/>
      <c r="L88" s="195"/>
      <c r="M88" s="195"/>
      <c r="N88" s="195"/>
      <c r="O88" s="195"/>
      <c r="P88" s="195"/>
      <c r="Q88" s="195"/>
      <c r="R88" s="195"/>
      <c r="S88" s="195"/>
      <c r="T88" s="195"/>
      <c r="U88" s="195"/>
      <c r="V88" s="195"/>
      <c r="W88" s="195"/>
      <c r="X88" s="195"/>
      <c r="Y88" s="195"/>
      <c r="Z88" s="195"/>
    </row>
    <row r="89" spans="1:26">
      <c r="A89" s="195"/>
      <c r="B89" s="195"/>
      <c r="C89" s="195"/>
      <c r="D89" s="195"/>
      <c r="E89" s="195"/>
      <c r="F89" s="195"/>
      <c r="G89" s="195"/>
      <c r="H89" s="195"/>
      <c r="I89" s="195"/>
      <c r="J89" s="195"/>
      <c r="K89" s="195"/>
      <c r="L89" s="195"/>
      <c r="M89" s="195"/>
      <c r="N89" s="195"/>
      <c r="O89" s="195"/>
      <c r="P89" s="195"/>
      <c r="Q89" s="195"/>
      <c r="R89" s="195"/>
      <c r="S89" s="195"/>
      <c r="T89" s="195"/>
      <c r="U89" s="195"/>
      <c r="V89" s="195"/>
      <c r="W89" s="195"/>
      <c r="X89" s="195"/>
      <c r="Y89" s="195"/>
      <c r="Z89" s="195"/>
    </row>
    <row r="90" spans="1:26">
      <c r="A90" s="195"/>
      <c r="B90" s="195"/>
      <c r="C90" s="195"/>
      <c r="D90" s="195"/>
      <c r="E90" s="195"/>
      <c r="F90" s="195"/>
      <c r="G90" s="195"/>
      <c r="H90" s="195"/>
      <c r="I90" s="195"/>
      <c r="J90" s="195"/>
      <c r="K90" s="195"/>
      <c r="L90" s="195"/>
      <c r="M90" s="195"/>
      <c r="N90" s="195"/>
      <c r="O90" s="195"/>
      <c r="P90" s="195"/>
      <c r="Q90" s="195"/>
      <c r="R90" s="195"/>
      <c r="S90" s="195"/>
      <c r="T90" s="195"/>
      <c r="U90" s="195"/>
      <c r="V90" s="195"/>
      <c r="W90" s="195"/>
      <c r="X90" s="195"/>
      <c r="Y90" s="195"/>
      <c r="Z90" s="195"/>
    </row>
    <row r="91" spans="1:26">
      <c r="A91" s="195"/>
      <c r="B91" s="195"/>
      <c r="C91" s="195"/>
      <c r="D91" s="195"/>
      <c r="E91" s="195"/>
      <c r="F91" s="195"/>
      <c r="G91" s="195"/>
      <c r="H91" s="195"/>
      <c r="I91" s="195"/>
      <c r="J91" s="195"/>
      <c r="K91" s="195"/>
      <c r="L91" s="195"/>
      <c r="M91" s="195"/>
      <c r="N91" s="195"/>
      <c r="O91" s="195"/>
      <c r="P91" s="195"/>
      <c r="Q91" s="195"/>
      <c r="R91" s="195"/>
      <c r="S91" s="195"/>
      <c r="T91" s="195"/>
      <c r="U91" s="195"/>
      <c r="V91" s="195"/>
      <c r="W91" s="195"/>
      <c r="X91" s="195"/>
      <c r="Y91" s="195"/>
      <c r="Z91" s="195"/>
    </row>
    <row r="92" spans="1:26">
      <c r="A92" s="195"/>
      <c r="B92" s="195"/>
      <c r="C92" s="195"/>
      <c r="D92" s="195"/>
      <c r="E92" s="195"/>
      <c r="F92" s="195"/>
      <c r="G92" s="195"/>
      <c r="H92" s="195"/>
      <c r="I92" s="195"/>
      <c r="J92" s="195"/>
      <c r="K92" s="195"/>
      <c r="L92" s="195"/>
      <c r="M92" s="195"/>
      <c r="N92" s="195"/>
      <c r="O92" s="195"/>
      <c r="P92" s="195"/>
      <c r="Q92" s="195"/>
      <c r="R92" s="195"/>
      <c r="S92" s="195"/>
      <c r="T92" s="195"/>
      <c r="U92" s="195"/>
      <c r="V92" s="195"/>
      <c r="W92" s="195"/>
      <c r="X92" s="195"/>
      <c r="Y92" s="195"/>
      <c r="Z92" s="195"/>
    </row>
    <row r="93" spans="1:26">
      <c r="A93" s="195"/>
      <c r="B93" s="195"/>
      <c r="C93" s="195"/>
      <c r="D93" s="195"/>
      <c r="E93" s="195"/>
      <c r="F93" s="195"/>
      <c r="G93" s="195"/>
      <c r="H93" s="195"/>
      <c r="I93" s="195"/>
      <c r="J93" s="195"/>
      <c r="K93" s="195"/>
      <c r="L93" s="195"/>
      <c r="M93" s="195"/>
      <c r="N93" s="195"/>
      <c r="O93" s="195"/>
      <c r="P93" s="195"/>
      <c r="Q93" s="195"/>
      <c r="R93" s="195"/>
      <c r="S93" s="195"/>
      <c r="T93" s="195"/>
      <c r="U93" s="195"/>
      <c r="V93" s="195"/>
      <c r="W93" s="195"/>
      <c r="X93" s="195"/>
      <c r="Y93" s="195"/>
      <c r="Z93" s="195"/>
    </row>
    <row r="94" spans="1:26">
      <c r="A94" s="195"/>
      <c r="B94" s="195"/>
      <c r="C94" s="195"/>
      <c r="D94" s="195"/>
      <c r="E94" s="195"/>
      <c r="F94" s="195"/>
      <c r="G94" s="195"/>
      <c r="H94" s="195"/>
      <c r="I94" s="195"/>
      <c r="J94" s="195"/>
      <c r="K94" s="195"/>
      <c r="L94" s="195"/>
      <c r="M94" s="195"/>
      <c r="N94" s="195"/>
      <c r="O94" s="195"/>
      <c r="P94" s="195"/>
      <c r="Q94" s="195"/>
      <c r="R94" s="195"/>
      <c r="S94" s="195"/>
      <c r="T94" s="195"/>
      <c r="U94" s="195"/>
      <c r="V94" s="195"/>
      <c r="W94" s="195"/>
      <c r="X94" s="195"/>
      <c r="Y94" s="195"/>
      <c r="Z94" s="195"/>
    </row>
    <row r="95" spans="1:26">
      <c r="A95" s="195"/>
      <c r="B95" s="195"/>
      <c r="C95" s="195"/>
      <c r="D95" s="195"/>
      <c r="E95" s="195"/>
      <c r="F95" s="195"/>
      <c r="G95" s="195"/>
      <c r="H95" s="195"/>
      <c r="I95" s="195"/>
      <c r="J95" s="195"/>
      <c r="K95" s="195"/>
      <c r="L95" s="195"/>
      <c r="M95" s="195"/>
      <c r="N95" s="195"/>
      <c r="O95" s="195"/>
      <c r="P95" s="195"/>
      <c r="Q95" s="195"/>
      <c r="R95" s="195"/>
      <c r="S95" s="195"/>
      <c r="T95" s="195"/>
      <c r="U95" s="195"/>
      <c r="V95" s="195"/>
      <c r="W95" s="195"/>
      <c r="X95" s="195"/>
      <c r="Y95" s="195"/>
      <c r="Z95" s="195"/>
    </row>
    <row r="96" spans="1:26">
      <c r="A96" s="195"/>
      <c r="B96" s="195"/>
      <c r="C96" s="195"/>
      <c r="D96" s="195"/>
      <c r="E96" s="195"/>
      <c r="F96" s="195"/>
      <c r="G96" s="195"/>
      <c r="H96" s="195"/>
      <c r="I96" s="195"/>
      <c r="J96" s="195"/>
      <c r="K96" s="195"/>
      <c r="L96" s="195"/>
      <c r="M96" s="195"/>
      <c r="N96" s="195"/>
      <c r="O96" s="195"/>
      <c r="P96" s="195"/>
      <c r="Q96" s="195"/>
      <c r="R96" s="195"/>
      <c r="S96" s="195"/>
      <c r="T96" s="195"/>
      <c r="U96" s="195"/>
      <c r="V96" s="195"/>
      <c r="W96" s="195"/>
      <c r="X96" s="195"/>
      <c r="Y96" s="195"/>
      <c r="Z96" s="195"/>
    </row>
    <row r="97" spans="1:26">
      <c r="A97" s="195"/>
      <c r="B97" s="195"/>
      <c r="C97" s="195"/>
      <c r="D97" s="195"/>
      <c r="E97" s="195"/>
      <c r="F97" s="195"/>
      <c r="G97" s="195"/>
      <c r="H97" s="195"/>
      <c r="I97" s="195"/>
      <c r="J97" s="195"/>
      <c r="K97" s="195"/>
      <c r="L97" s="195"/>
      <c r="M97" s="195"/>
      <c r="N97" s="195"/>
      <c r="O97" s="195"/>
      <c r="P97" s="195"/>
      <c r="Q97" s="195"/>
      <c r="R97" s="195"/>
      <c r="S97" s="195"/>
      <c r="T97" s="195"/>
      <c r="U97" s="195"/>
      <c r="V97" s="195"/>
      <c r="W97" s="195"/>
      <c r="X97" s="195"/>
      <c r="Y97" s="195"/>
      <c r="Z97" s="195"/>
    </row>
    <row r="98" spans="1:26">
      <c r="A98" s="195"/>
      <c r="B98" s="195"/>
      <c r="C98" s="195"/>
      <c r="D98" s="195"/>
      <c r="E98" s="195"/>
      <c r="F98" s="195"/>
      <c r="G98" s="195"/>
      <c r="H98" s="195"/>
      <c r="I98" s="195"/>
      <c r="J98" s="195"/>
      <c r="K98" s="195"/>
      <c r="L98" s="195"/>
      <c r="M98" s="195"/>
      <c r="N98" s="195"/>
      <c r="O98" s="195"/>
      <c r="P98" s="195"/>
      <c r="Q98" s="195"/>
      <c r="R98" s="195"/>
      <c r="S98" s="195"/>
      <c r="T98" s="195"/>
      <c r="U98" s="195"/>
      <c r="V98" s="195"/>
      <c r="W98" s="195"/>
      <c r="X98" s="195"/>
      <c r="Y98" s="195"/>
      <c r="Z98" s="195"/>
    </row>
    <row r="99" spans="1:26">
      <c r="A99" s="195"/>
      <c r="B99" s="195"/>
      <c r="C99" s="195"/>
      <c r="D99" s="195"/>
      <c r="E99" s="195"/>
      <c r="F99" s="195"/>
      <c r="G99" s="195"/>
      <c r="H99" s="195"/>
      <c r="I99" s="195"/>
      <c r="J99" s="195"/>
      <c r="K99" s="195"/>
      <c r="L99" s="195"/>
      <c r="M99" s="195"/>
      <c r="N99" s="195"/>
      <c r="O99" s="195"/>
      <c r="P99" s="195"/>
      <c r="Q99" s="195"/>
      <c r="R99" s="195"/>
      <c r="S99" s="195"/>
      <c r="T99" s="195"/>
      <c r="U99" s="195"/>
      <c r="V99" s="195"/>
      <c r="W99" s="195"/>
      <c r="X99" s="195"/>
      <c r="Y99" s="195"/>
      <c r="Z99" s="195"/>
    </row>
    <row r="100" spans="1:26">
      <c r="A100" s="195"/>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row>
  </sheetData>
  <sheetProtection algorithmName="SHA-512" hashValue="SO/QNOowLABkk/HWumFMQdICPv4UZeGC+1BD1MK358z8lrN+yHomtOusIbzeRegg6m1UNkiEe1AoJgJwbgMX+g==" saltValue="1tRYEYujHpPiWhWj9zXNig==" spinCount="100000" sheet="1" objects="1" scenarios="1"/>
  <mergeCells count="2">
    <mergeCell ref="B43:E46"/>
    <mergeCell ref="B49:E49"/>
  </mergeCells>
  <hyperlinks>
    <hyperlink ref="E42:G42" location="'Eingabe Kundendaten'!A1" display="Menü" xr:uid="{2E069E2D-0D2A-4AFE-BCC7-C6C5C3699A90}"/>
    <hyperlink ref="B41" location="'Eingabe Käuferdaten'!A1" display="Menü" xr:uid="{5ADACFD7-E002-4832-B39C-785BA1EB8F19}"/>
  </hyperlinks>
  <pageMargins left="0.39370078740157483" right="0.39370078740157483" top="0.78740157480314965" bottom="0.78740157480314965" header="0.31496062992125984" footer="0.31496062992125984"/>
  <pageSetup paperSize="9" scale="7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62FBB-7F97-49C6-A393-5E13B161C8F4}">
  <sheetPr codeName="Tabelle15">
    <pageSetUpPr fitToPage="1"/>
  </sheetPr>
  <dimension ref="A2:C33"/>
  <sheetViews>
    <sheetView zoomScaleNormal="100" workbookViewId="0">
      <selection activeCell="B33" sqref="B33"/>
    </sheetView>
  </sheetViews>
  <sheetFormatPr baseColWidth="10" defaultColWidth="11.453125" defaultRowHeight="12.5"/>
  <cols>
    <col min="1" max="1" width="36.7265625" style="5" bestFit="1" customWidth="1"/>
    <col min="2" max="2" width="36.81640625" style="5" bestFit="1" customWidth="1"/>
    <col min="3" max="3" width="43.26953125" style="5" bestFit="1" customWidth="1"/>
    <col min="4" max="16384" width="11.453125" style="5"/>
  </cols>
  <sheetData>
    <row r="2" spans="1:3" ht="15.5">
      <c r="A2" s="19" t="s">
        <v>29</v>
      </c>
      <c r="B2" s="20" t="s">
        <v>351</v>
      </c>
      <c r="C2" s="21" t="s">
        <v>352</v>
      </c>
    </row>
    <row r="3" spans="1:3" ht="15.5">
      <c r="A3" s="512" t="s">
        <v>353</v>
      </c>
      <c r="B3" s="513">
        <v>0</v>
      </c>
      <c r="C3" s="514">
        <v>0</v>
      </c>
    </row>
    <row r="4" spans="1:3" ht="15.5">
      <c r="A4" s="515">
        <v>15000</v>
      </c>
      <c r="B4" s="513">
        <v>0.19</v>
      </c>
      <c r="C4" s="514">
        <v>0</v>
      </c>
    </row>
    <row r="5" spans="1:3" ht="15.5">
      <c r="A5" s="515">
        <v>20000</v>
      </c>
      <c r="B5" s="513">
        <v>0.25</v>
      </c>
      <c r="C5" s="514">
        <v>0</v>
      </c>
    </row>
    <row r="6" spans="1:3" ht="15.5">
      <c r="A6" s="515">
        <v>25000</v>
      </c>
      <c r="B6" s="513">
        <v>0.27</v>
      </c>
      <c r="C6" s="514">
        <v>0.15</v>
      </c>
    </row>
    <row r="7" spans="1:3" ht="15.5">
      <c r="A7" s="515">
        <v>30000</v>
      </c>
      <c r="B7" s="513">
        <v>0.28000000000000003</v>
      </c>
      <c r="C7" s="514">
        <v>0.19</v>
      </c>
    </row>
    <row r="8" spans="1:3" ht="15.5">
      <c r="A8" s="515">
        <v>35000</v>
      </c>
      <c r="B8" s="513">
        <v>0.3</v>
      </c>
      <c r="C8" s="514">
        <v>0.24</v>
      </c>
    </row>
    <row r="9" spans="1:3" ht="15.5">
      <c r="A9" s="515">
        <v>40000</v>
      </c>
      <c r="B9" s="513">
        <v>0.32</v>
      </c>
      <c r="C9" s="514">
        <v>0.25</v>
      </c>
    </row>
    <row r="10" spans="1:3" ht="15.5">
      <c r="A10" s="515">
        <v>45000</v>
      </c>
      <c r="B10" s="513">
        <v>0.34</v>
      </c>
      <c r="C10" s="514">
        <v>0.26</v>
      </c>
    </row>
    <row r="11" spans="1:3" ht="15.5">
      <c r="A11" s="515">
        <v>50000</v>
      </c>
      <c r="B11" s="513">
        <v>0.35</v>
      </c>
      <c r="C11" s="514">
        <v>0.27</v>
      </c>
    </row>
    <row r="12" spans="1:3" ht="15.5">
      <c r="A12" s="515">
        <v>55000</v>
      </c>
      <c r="B12" s="513">
        <v>0.37</v>
      </c>
      <c r="C12" s="514">
        <v>0.28000000000000003</v>
      </c>
    </row>
    <row r="13" spans="1:3" ht="15.5">
      <c r="A13" s="515">
        <v>60000</v>
      </c>
      <c r="B13" s="513">
        <v>0.39</v>
      </c>
      <c r="C13" s="514">
        <v>0.28000000000000003</v>
      </c>
    </row>
    <row r="14" spans="1:3" ht="15.5">
      <c r="A14" s="515">
        <v>65000</v>
      </c>
      <c r="B14" s="513">
        <v>0.41</v>
      </c>
      <c r="C14" s="514">
        <v>0.28999999999999998</v>
      </c>
    </row>
    <row r="15" spans="1:3" ht="15.5">
      <c r="A15" s="515">
        <v>70000</v>
      </c>
      <c r="B15" s="513">
        <v>0.42</v>
      </c>
      <c r="C15" s="514">
        <v>0.3</v>
      </c>
    </row>
    <row r="16" spans="1:3" ht="15.5">
      <c r="A16" s="515">
        <v>75000</v>
      </c>
      <c r="B16" s="513">
        <v>0.42</v>
      </c>
      <c r="C16" s="514">
        <v>0.31</v>
      </c>
    </row>
    <row r="17" spans="1:3" ht="15.5">
      <c r="A17" s="515">
        <v>80000</v>
      </c>
      <c r="B17" s="513">
        <v>0.42</v>
      </c>
      <c r="C17" s="514">
        <v>0.32</v>
      </c>
    </row>
    <row r="18" spans="1:3" ht="15.5">
      <c r="A18" s="515">
        <v>85000</v>
      </c>
      <c r="B18" s="513">
        <v>0.42</v>
      </c>
      <c r="C18" s="514">
        <v>0.33</v>
      </c>
    </row>
    <row r="19" spans="1:3" ht="15.5">
      <c r="A19" s="515">
        <v>90000</v>
      </c>
      <c r="B19" s="513">
        <v>0.42</v>
      </c>
      <c r="C19" s="514">
        <v>0.34</v>
      </c>
    </row>
    <row r="20" spans="1:3" ht="15.5">
      <c r="A20" s="515">
        <v>95000</v>
      </c>
      <c r="B20" s="513">
        <v>0.42</v>
      </c>
      <c r="C20" s="514">
        <v>0.35</v>
      </c>
    </row>
    <row r="21" spans="1:3" ht="15.5">
      <c r="A21" s="515">
        <v>100000</v>
      </c>
      <c r="B21" s="513">
        <v>0.42</v>
      </c>
      <c r="C21" s="514">
        <v>0.37</v>
      </c>
    </row>
    <row r="22" spans="1:3" ht="15.5">
      <c r="A22" s="515">
        <v>110000</v>
      </c>
      <c r="B22" s="513">
        <v>0.42</v>
      </c>
      <c r="C22" s="514">
        <v>0.37</v>
      </c>
    </row>
    <row r="23" spans="1:3" ht="15.5">
      <c r="A23" s="515">
        <v>120000</v>
      </c>
      <c r="B23" s="513">
        <v>0.42</v>
      </c>
      <c r="C23" s="514">
        <v>0.41</v>
      </c>
    </row>
    <row r="24" spans="1:3" ht="15.5">
      <c r="A24" s="515">
        <v>130000</v>
      </c>
      <c r="B24" s="513">
        <v>0.42</v>
      </c>
      <c r="C24" s="514">
        <v>0.41</v>
      </c>
    </row>
    <row r="25" spans="1:3" ht="15.5">
      <c r="A25" s="515">
        <v>140000</v>
      </c>
      <c r="B25" s="513">
        <v>0.42</v>
      </c>
      <c r="C25" s="514">
        <v>0.42</v>
      </c>
    </row>
    <row r="26" spans="1:3" ht="15.5">
      <c r="A26" s="516">
        <v>150000</v>
      </c>
      <c r="B26" s="517">
        <v>0.42</v>
      </c>
      <c r="C26" s="518">
        <v>0.42</v>
      </c>
    </row>
    <row r="27" spans="1:3" ht="15.5">
      <c r="A27" s="515">
        <v>160000</v>
      </c>
      <c r="B27" s="513">
        <v>0.42</v>
      </c>
      <c r="C27" s="514">
        <v>0.42</v>
      </c>
    </row>
    <row r="28" spans="1:3" ht="15.5">
      <c r="A28" s="515">
        <v>180000</v>
      </c>
      <c r="B28" s="513">
        <v>0.42</v>
      </c>
      <c r="C28" s="514">
        <v>0.42</v>
      </c>
    </row>
    <row r="29" spans="1:3" ht="15.5">
      <c r="A29" s="515">
        <v>200000</v>
      </c>
      <c r="B29" s="513">
        <v>0.42</v>
      </c>
      <c r="C29" s="514">
        <v>0.42</v>
      </c>
    </row>
    <row r="30" spans="1:3" ht="15.5">
      <c r="A30" s="515">
        <v>240000</v>
      </c>
      <c r="B30" s="513">
        <v>0.42</v>
      </c>
      <c r="C30" s="514">
        <v>0.42</v>
      </c>
    </row>
    <row r="31" spans="1:3" ht="15.5">
      <c r="A31" s="515">
        <v>280000</v>
      </c>
      <c r="B31" s="513">
        <v>0.45</v>
      </c>
      <c r="C31" s="514">
        <v>0.42</v>
      </c>
    </row>
    <row r="33" spans="2:2">
      <c r="B33" s="55" t="s">
        <v>226</v>
      </c>
    </row>
  </sheetData>
  <sheetProtection algorithmName="SHA-512" hashValue="4xG0V5JVlfJ37EWQZ/mRXvwmerGgcwuXqgR8zGEurRDCE39VTndtVac0+m3sVmVX421fuCqnvbDM2NUcgAeT2A==" saltValue="fCpvR3Vz0j9JARdkeFt1fA==" spinCount="100000" sheet="1" objects="1" scenarios="1"/>
  <hyperlinks>
    <hyperlink ref="B33" location="'Eingabe Käuferdaten'!A1" display="Menü" xr:uid="{60C731B4-E0B5-4C2F-AA5C-4AD785C753C5}"/>
  </hyperlinks>
  <pageMargins left="0.70866141732283472" right="0.70866141732283472" top="0.78740157480314965" bottom="0.78740157480314965" header="0.31496062992125984" footer="0.31496062992125984"/>
  <pageSetup paperSize="9" scale="76"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9E3CB-0C3F-4D59-A699-6B36122240D6}">
  <sheetPr codeName="Tabelle16">
    <pageSetUpPr fitToPage="1"/>
  </sheetPr>
  <dimension ref="B2:O61"/>
  <sheetViews>
    <sheetView showGridLines="0" showRowColHeaders="0" topLeftCell="A41" zoomScale="115" zoomScaleNormal="115" workbookViewId="0">
      <selection activeCell="H61" sqref="H61"/>
    </sheetView>
  </sheetViews>
  <sheetFormatPr baseColWidth="10" defaultColWidth="10.7265625" defaultRowHeight="12.5"/>
  <cols>
    <col min="1" max="1" width="2.7265625" customWidth="1"/>
    <col min="2" max="15" width="7" customWidth="1"/>
  </cols>
  <sheetData>
    <row r="2" spans="2:15" ht="19.5">
      <c r="B2" s="10" t="s">
        <v>180</v>
      </c>
    </row>
    <row r="4" spans="2:15" ht="14.5">
      <c r="B4" s="11" t="s">
        <v>181</v>
      </c>
      <c r="C4" s="11"/>
      <c r="D4" s="11"/>
      <c r="E4" s="11"/>
      <c r="F4" s="11"/>
      <c r="G4" s="11"/>
      <c r="H4" s="11"/>
      <c r="I4" s="11"/>
    </row>
    <row r="5" spans="2:15" ht="14.5">
      <c r="B5" s="11" t="s">
        <v>182</v>
      </c>
      <c r="C5" s="11"/>
      <c r="D5" s="11"/>
      <c r="E5" s="11"/>
      <c r="F5" s="11"/>
      <c r="G5" s="11"/>
      <c r="H5" s="11"/>
      <c r="I5" s="11"/>
    </row>
    <row r="6" spans="2:15" ht="14.5">
      <c r="B6" s="11"/>
      <c r="C6" s="11"/>
      <c r="D6" s="11"/>
      <c r="E6" s="11"/>
      <c r="F6" s="11"/>
      <c r="G6" s="11"/>
      <c r="H6" s="11"/>
      <c r="I6" s="11"/>
    </row>
    <row r="7" spans="2:15" ht="15.5">
      <c r="B7" s="50"/>
      <c r="C7" s="51" t="s">
        <v>183</v>
      </c>
      <c r="D7" s="50"/>
      <c r="E7" s="50"/>
      <c r="F7" s="50"/>
      <c r="G7" s="50"/>
      <c r="H7" s="50"/>
      <c r="I7" s="50"/>
      <c r="J7" s="50"/>
      <c r="K7" s="50"/>
      <c r="L7" s="50"/>
      <c r="M7" s="50"/>
      <c r="N7" s="50"/>
      <c r="O7" s="50"/>
    </row>
    <row r="8" spans="2:15" ht="15.5">
      <c r="B8" s="50" t="s">
        <v>54</v>
      </c>
      <c r="C8" s="50">
        <v>1</v>
      </c>
      <c r="D8" s="50">
        <v>1.5</v>
      </c>
      <c r="E8" s="50">
        <v>2</v>
      </c>
      <c r="F8" s="50">
        <v>2.5</v>
      </c>
      <c r="G8" s="50">
        <v>3</v>
      </c>
      <c r="H8" s="50">
        <v>3.5</v>
      </c>
      <c r="I8" s="50">
        <v>4</v>
      </c>
      <c r="J8" s="50">
        <v>5</v>
      </c>
      <c r="K8" s="50">
        <v>6</v>
      </c>
      <c r="L8" s="50">
        <v>7</v>
      </c>
      <c r="M8" s="50">
        <v>8</v>
      </c>
      <c r="N8" s="50">
        <v>9</v>
      </c>
      <c r="O8" s="50">
        <v>10</v>
      </c>
    </row>
    <row r="9" spans="2:15" ht="15.5">
      <c r="B9" s="50">
        <v>1</v>
      </c>
      <c r="C9" s="12">
        <v>0.99</v>
      </c>
      <c r="D9" s="13">
        <v>0.98499999999999999</v>
      </c>
      <c r="E9" s="12">
        <v>0.98</v>
      </c>
      <c r="F9" s="13">
        <v>0.97499999999999998</v>
      </c>
      <c r="G9" s="12">
        <v>0.97</v>
      </c>
      <c r="H9" s="13">
        <v>0.96499999999999997</v>
      </c>
      <c r="I9" s="12">
        <v>0.96</v>
      </c>
      <c r="J9" s="13">
        <v>0.95</v>
      </c>
      <c r="K9" s="12">
        <v>0.94</v>
      </c>
      <c r="L9" s="13">
        <v>0.93</v>
      </c>
      <c r="M9" s="12">
        <v>0.92</v>
      </c>
      <c r="N9" s="13">
        <v>0.91</v>
      </c>
      <c r="O9" s="12">
        <v>0.9</v>
      </c>
    </row>
    <row r="10" spans="2:15" ht="15.5">
      <c r="B10" s="50">
        <v>2</v>
      </c>
      <c r="C10" s="12">
        <v>0.98</v>
      </c>
      <c r="D10" s="13">
        <v>0.97</v>
      </c>
      <c r="E10" s="12">
        <v>0.96</v>
      </c>
      <c r="F10" s="13">
        <v>0.95099999999999996</v>
      </c>
      <c r="G10" s="12">
        <v>0.94099999999999995</v>
      </c>
      <c r="H10" s="13">
        <v>0.93100000000000005</v>
      </c>
      <c r="I10" s="12">
        <v>0.92200000000000004</v>
      </c>
      <c r="J10" s="13">
        <v>0.90300000000000002</v>
      </c>
      <c r="K10" s="12">
        <v>0.84399999999999997</v>
      </c>
      <c r="L10" s="13">
        <v>0.86499999999999999</v>
      </c>
      <c r="M10" s="12">
        <v>0.84599999999999997</v>
      </c>
      <c r="N10" s="13">
        <v>0.82799999999999996</v>
      </c>
      <c r="O10" s="12">
        <v>0.81</v>
      </c>
    </row>
    <row r="11" spans="2:15" ht="15.5">
      <c r="B11" s="50">
        <v>3</v>
      </c>
      <c r="C11" s="12">
        <v>0.97</v>
      </c>
      <c r="D11" s="13">
        <v>0.95599999999999996</v>
      </c>
      <c r="E11" s="12">
        <v>0.94099999999999995</v>
      </c>
      <c r="F11" s="13">
        <v>0.92700000000000005</v>
      </c>
      <c r="G11" s="12">
        <v>0.91300000000000003</v>
      </c>
      <c r="H11" s="13">
        <v>0.89900000000000002</v>
      </c>
      <c r="I11" s="12">
        <v>0.88500000000000001</v>
      </c>
      <c r="J11" s="13">
        <v>0.85699999999999998</v>
      </c>
      <c r="K11" s="12">
        <v>0.83099999999999996</v>
      </c>
      <c r="L11" s="13">
        <v>0.80400000000000005</v>
      </c>
      <c r="M11" s="12">
        <v>0.77900000000000003</v>
      </c>
      <c r="N11" s="13">
        <v>0.754</v>
      </c>
      <c r="O11" s="12">
        <v>0.72899999999999998</v>
      </c>
    </row>
    <row r="12" spans="2:15" ht="15.5">
      <c r="B12" s="50">
        <v>4</v>
      </c>
      <c r="C12" s="12">
        <v>0.96099999999999997</v>
      </c>
      <c r="D12" s="13">
        <v>0.94099999999999995</v>
      </c>
      <c r="E12" s="12">
        <v>0.92200000000000004</v>
      </c>
      <c r="F12" s="13">
        <v>0.90400000000000003</v>
      </c>
      <c r="G12" s="12">
        <v>0.88500000000000001</v>
      </c>
      <c r="H12" s="13">
        <v>0.86699999999999999</v>
      </c>
      <c r="I12" s="12">
        <v>0.84899999999999998</v>
      </c>
      <c r="J12" s="13">
        <v>0.81499999999999995</v>
      </c>
      <c r="K12" s="12">
        <v>0.78100000000000003</v>
      </c>
      <c r="L12" s="13">
        <v>0.748</v>
      </c>
      <c r="M12" s="12">
        <v>0.71599999999999997</v>
      </c>
      <c r="N12" s="13">
        <v>0.68600000000000005</v>
      </c>
      <c r="O12" s="12">
        <v>0.65600000000000003</v>
      </c>
    </row>
    <row r="13" spans="2:15" ht="15.5">
      <c r="B13" s="50">
        <v>5</v>
      </c>
      <c r="C13" s="12">
        <v>0.95099999999999996</v>
      </c>
      <c r="D13" s="13">
        <v>0.92700000000000005</v>
      </c>
      <c r="E13" s="12">
        <v>0.90400000000000003</v>
      </c>
      <c r="F13" s="13">
        <v>0.88100000000000001</v>
      </c>
      <c r="G13" s="12">
        <v>0.85899999999999999</v>
      </c>
      <c r="H13" s="13">
        <v>0.83699999999999997</v>
      </c>
      <c r="I13" s="12">
        <v>0.81499999999999995</v>
      </c>
      <c r="J13" s="13">
        <v>0.77400000000000002</v>
      </c>
      <c r="K13" s="12">
        <v>0.73399999999999999</v>
      </c>
      <c r="L13" s="13">
        <v>0.69599999999999995</v>
      </c>
      <c r="M13" s="12">
        <v>0.65900000000000003</v>
      </c>
      <c r="N13" s="13">
        <v>0.624</v>
      </c>
      <c r="O13" s="12">
        <v>0.59</v>
      </c>
    </row>
    <row r="14" spans="2:15" ht="15.5">
      <c r="B14" s="50">
        <v>6</v>
      </c>
      <c r="C14" s="12">
        <v>0.94099999999999995</v>
      </c>
      <c r="D14" s="13">
        <v>0.91300000000000003</v>
      </c>
      <c r="E14" s="12">
        <v>0.88600000000000001</v>
      </c>
      <c r="F14" s="13">
        <v>0.85899999999999999</v>
      </c>
      <c r="G14" s="12">
        <v>0.83299999999999996</v>
      </c>
      <c r="H14" s="13">
        <v>0.80800000000000005</v>
      </c>
      <c r="I14" s="12">
        <v>0.78300000000000003</v>
      </c>
      <c r="J14" s="13">
        <v>0.73499999999999999</v>
      </c>
      <c r="K14" s="12">
        <v>0.69</v>
      </c>
      <c r="L14" s="13">
        <v>0.64700000000000002</v>
      </c>
      <c r="M14" s="12">
        <v>0.60599999999999998</v>
      </c>
      <c r="N14" s="13">
        <v>0.56799999999999995</v>
      </c>
      <c r="O14" s="12">
        <v>0.53100000000000003</v>
      </c>
    </row>
    <row r="15" spans="2:15" ht="15.5">
      <c r="B15" s="50">
        <v>7</v>
      </c>
      <c r="C15" s="12">
        <v>0.93200000000000005</v>
      </c>
      <c r="D15" s="13">
        <v>0.9</v>
      </c>
      <c r="E15" s="12">
        <v>0.86799999999999999</v>
      </c>
      <c r="F15" s="13">
        <v>0.83799999999999997</v>
      </c>
      <c r="G15" s="12">
        <v>0.80800000000000005</v>
      </c>
      <c r="H15" s="13">
        <v>0.77900000000000003</v>
      </c>
      <c r="I15" s="12">
        <v>0.751</v>
      </c>
      <c r="J15" s="13">
        <v>0.69799999999999995</v>
      </c>
      <c r="K15" s="12">
        <v>0.64800000000000002</v>
      </c>
      <c r="L15" s="13">
        <v>0.60199999999999998</v>
      </c>
      <c r="M15" s="12">
        <v>0.55800000000000005</v>
      </c>
      <c r="N15" s="13">
        <v>0.51700000000000002</v>
      </c>
      <c r="O15" s="12">
        <v>0.47799999999999998</v>
      </c>
    </row>
    <row r="16" spans="2:15" ht="15.5">
      <c r="B16" s="50">
        <v>8</v>
      </c>
      <c r="C16" s="12">
        <v>0.92300000000000004</v>
      </c>
      <c r="D16" s="13">
        <v>0.88600000000000001</v>
      </c>
      <c r="E16" s="12">
        <v>0.85099999999999998</v>
      </c>
      <c r="F16" s="13">
        <v>0.81699999999999995</v>
      </c>
      <c r="G16" s="12">
        <v>0.78400000000000003</v>
      </c>
      <c r="H16" s="13">
        <v>0.752</v>
      </c>
      <c r="I16" s="12">
        <v>0.72099999999999997</v>
      </c>
      <c r="J16" s="13">
        <v>0.66300000000000003</v>
      </c>
      <c r="K16" s="12">
        <v>0.61</v>
      </c>
      <c r="L16" s="13">
        <v>0.56000000000000005</v>
      </c>
      <c r="M16" s="12">
        <v>0.51300000000000001</v>
      </c>
      <c r="N16" s="13">
        <v>0.47</v>
      </c>
      <c r="O16" s="12">
        <v>0.43</v>
      </c>
    </row>
    <row r="17" spans="2:15" ht="15.5">
      <c r="B17" s="50">
        <v>9</v>
      </c>
      <c r="C17" s="12">
        <v>0.91400000000000003</v>
      </c>
      <c r="D17" s="13">
        <v>0.873</v>
      </c>
      <c r="E17" s="12">
        <v>0.83399999999999996</v>
      </c>
      <c r="F17" s="13">
        <v>0.79600000000000004</v>
      </c>
      <c r="G17" s="12">
        <v>0.76</v>
      </c>
      <c r="H17" s="13">
        <v>0.72599999999999998</v>
      </c>
      <c r="I17" s="12">
        <v>0.69299999999999995</v>
      </c>
      <c r="J17" s="13">
        <v>0.63</v>
      </c>
      <c r="K17" s="12">
        <v>0.57299999999999995</v>
      </c>
      <c r="L17" s="13">
        <v>0.52</v>
      </c>
      <c r="M17" s="12">
        <v>0.47199999999999998</v>
      </c>
      <c r="N17" s="13">
        <v>0.42799999999999999</v>
      </c>
      <c r="O17" s="12">
        <v>0.38700000000000001</v>
      </c>
    </row>
    <row r="18" spans="2:15" ht="15.5">
      <c r="B18" s="50">
        <v>10</v>
      </c>
      <c r="C18" s="12">
        <v>0.90400000000000003</v>
      </c>
      <c r="D18" s="13">
        <v>0.86</v>
      </c>
      <c r="E18" s="12">
        <v>0.81699999999999995</v>
      </c>
      <c r="F18" s="13">
        <v>0.77600000000000002</v>
      </c>
      <c r="G18" s="12">
        <v>0.73699999999999999</v>
      </c>
      <c r="H18" s="13">
        <v>0.7</v>
      </c>
      <c r="I18" s="12">
        <v>0.66500000000000004</v>
      </c>
      <c r="J18" s="13">
        <v>0.59899999999999998</v>
      </c>
      <c r="K18" s="12">
        <v>0.53900000000000003</v>
      </c>
      <c r="L18" s="13">
        <v>0.48399999999999999</v>
      </c>
      <c r="M18" s="12">
        <v>0.434</v>
      </c>
      <c r="N18" s="13">
        <v>0.38900000000000001</v>
      </c>
      <c r="O18" s="12">
        <v>0.34899999999999998</v>
      </c>
    </row>
    <row r="19" spans="2:15" ht="15.5">
      <c r="B19" s="50">
        <v>11</v>
      </c>
      <c r="C19" s="12">
        <v>0.89500000000000002</v>
      </c>
      <c r="D19" s="13">
        <v>0.84699999999999998</v>
      </c>
      <c r="E19" s="12">
        <v>0.80100000000000005</v>
      </c>
      <c r="F19" s="13">
        <v>0.75700000000000001</v>
      </c>
      <c r="G19" s="12">
        <v>0.71499999999999997</v>
      </c>
      <c r="H19" s="13">
        <v>0.67600000000000005</v>
      </c>
      <c r="I19" s="12">
        <v>0.63800000000000001</v>
      </c>
      <c r="J19" s="13">
        <v>0.56899999999999995</v>
      </c>
      <c r="K19" s="12">
        <v>0.50600000000000001</v>
      </c>
      <c r="L19" s="13">
        <v>0.45</v>
      </c>
      <c r="M19" s="12">
        <v>0.4</v>
      </c>
      <c r="N19" s="13">
        <v>0.35399999999999998</v>
      </c>
      <c r="O19" s="12">
        <v>0.314</v>
      </c>
    </row>
    <row r="20" spans="2:15" ht="15.5">
      <c r="B20" s="50">
        <v>12</v>
      </c>
      <c r="C20" s="12">
        <v>0.88600000000000001</v>
      </c>
      <c r="D20" s="13">
        <v>0.83399999999999996</v>
      </c>
      <c r="E20" s="12">
        <v>0.78500000000000003</v>
      </c>
      <c r="F20" s="13">
        <v>0.73799999999999999</v>
      </c>
      <c r="G20" s="12">
        <v>0.69399999999999995</v>
      </c>
      <c r="H20" s="13">
        <v>0.65200000000000002</v>
      </c>
      <c r="I20" s="12">
        <v>0.61299999999999999</v>
      </c>
      <c r="J20" s="13">
        <v>0.54</v>
      </c>
      <c r="K20" s="12">
        <v>0.47599999999999998</v>
      </c>
      <c r="L20" s="13">
        <v>0.41899999999999998</v>
      </c>
      <c r="M20" s="12">
        <v>0.36799999999999999</v>
      </c>
      <c r="N20" s="13">
        <v>0.32200000000000001</v>
      </c>
      <c r="O20" s="12">
        <v>0.28199999999999997</v>
      </c>
    </row>
    <row r="21" spans="2:15" ht="15.5">
      <c r="B21" s="50">
        <v>13</v>
      </c>
      <c r="C21" s="12">
        <v>0.878</v>
      </c>
      <c r="D21" s="13">
        <v>0.82199999999999995</v>
      </c>
      <c r="E21" s="12">
        <v>0.76900000000000002</v>
      </c>
      <c r="F21" s="13">
        <v>0.72</v>
      </c>
      <c r="G21" s="12">
        <v>0.67300000000000004</v>
      </c>
      <c r="H21" s="13">
        <v>0.629</v>
      </c>
      <c r="I21" s="12">
        <v>0.58799999999999997</v>
      </c>
      <c r="J21" s="13">
        <v>0.51300000000000001</v>
      </c>
      <c r="K21" s="12">
        <v>0.44700000000000001</v>
      </c>
      <c r="L21" s="13">
        <v>0.38900000000000001</v>
      </c>
      <c r="M21" s="12">
        <v>0.33800000000000002</v>
      </c>
      <c r="N21" s="13">
        <v>0.29299999999999998</v>
      </c>
      <c r="O21" s="12">
        <v>0.254</v>
      </c>
    </row>
    <row r="22" spans="2:15" ht="15.5">
      <c r="B22" s="50">
        <v>14</v>
      </c>
      <c r="C22" s="12">
        <v>0.86899999999999999</v>
      </c>
      <c r="D22" s="13">
        <v>0.80900000000000005</v>
      </c>
      <c r="E22" s="12">
        <v>0.754</v>
      </c>
      <c r="F22" s="13">
        <v>0.70199999999999996</v>
      </c>
      <c r="G22" s="12">
        <v>0.65300000000000002</v>
      </c>
      <c r="H22" s="13">
        <v>0.60699999999999998</v>
      </c>
      <c r="I22" s="12">
        <v>0.56499999999999995</v>
      </c>
      <c r="J22" s="13">
        <v>0.48799999999999999</v>
      </c>
      <c r="K22" s="12">
        <v>0.42099999999999999</v>
      </c>
      <c r="L22" s="13">
        <v>0.36199999999999999</v>
      </c>
      <c r="M22" s="12">
        <v>0.311</v>
      </c>
      <c r="N22" s="13">
        <v>0.26700000000000002</v>
      </c>
      <c r="O22" s="12">
        <v>0.22900000000000001</v>
      </c>
    </row>
    <row r="23" spans="2:15" ht="15.5">
      <c r="B23" s="50">
        <v>15</v>
      </c>
      <c r="C23" s="12">
        <v>0.86</v>
      </c>
      <c r="D23" s="13">
        <v>0.79700000000000004</v>
      </c>
      <c r="E23" s="12">
        <v>0.73899999999999999</v>
      </c>
      <c r="F23" s="13">
        <v>0.68400000000000005</v>
      </c>
      <c r="G23" s="12">
        <v>0.63300000000000001</v>
      </c>
      <c r="H23" s="13">
        <v>0.58599999999999997</v>
      </c>
      <c r="I23" s="12">
        <v>0.54200000000000004</v>
      </c>
      <c r="J23" s="13">
        <v>0.46300000000000002</v>
      </c>
      <c r="K23" s="12">
        <v>0.39500000000000002</v>
      </c>
      <c r="L23" s="13">
        <v>0.33700000000000002</v>
      </c>
      <c r="M23" s="12">
        <v>0.28599999999999998</v>
      </c>
      <c r="N23" s="13">
        <v>0.24299999999999999</v>
      </c>
      <c r="O23" s="12">
        <v>0.20599999999999999</v>
      </c>
    </row>
    <row r="24" spans="2:15" ht="15.5">
      <c r="B24" s="50">
        <v>16</v>
      </c>
      <c r="C24" s="12">
        <v>0.85099999999999998</v>
      </c>
      <c r="D24" s="13">
        <v>0.78500000000000003</v>
      </c>
      <c r="E24" s="12">
        <v>0.72399999999999998</v>
      </c>
      <c r="F24" s="13">
        <v>0.66700000000000004</v>
      </c>
      <c r="G24" s="12">
        <v>0.61399999999999999</v>
      </c>
      <c r="H24" s="13">
        <v>0.56599999999999995</v>
      </c>
      <c r="I24" s="12">
        <v>0.52</v>
      </c>
      <c r="J24" s="13">
        <v>0.44</v>
      </c>
      <c r="K24" s="12">
        <v>0.372</v>
      </c>
      <c r="L24" s="13">
        <v>0.313</v>
      </c>
      <c r="M24" s="12">
        <v>0.26300000000000001</v>
      </c>
      <c r="N24" s="13">
        <v>0.221</v>
      </c>
      <c r="O24" s="12">
        <v>0.185</v>
      </c>
    </row>
    <row r="25" spans="2:15" ht="15.5">
      <c r="B25" s="50">
        <v>17</v>
      </c>
      <c r="C25" s="12">
        <v>0.84299999999999997</v>
      </c>
      <c r="D25" s="13">
        <v>0.77300000000000002</v>
      </c>
      <c r="E25" s="12">
        <v>0.70899999999999996</v>
      </c>
      <c r="F25" s="13">
        <v>0.65</v>
      </c>
      <c r="G25" s="12">
        <v>0.59599999999999997</v>
      </c>
      <c r="H25" s="13">
        <v>0.54600000000000004</v>
      </c>
      <c r="I25" s="12">
        <v>0.5</v>
      </c>
      <c r="J25" s="13">
        <v>0.41799999999999998</v>
      </c>
      <c r="K25" s="12">
        <v>0.34899999999999998</v>
      </c>
      <c r="L25" s="13">
        <v>0.29099999999999998</v>
      </c>
      <c r="M25" s="12">
        <v>0.24199999999999999</v>
      </c>
      <c r="N25" s="13">
        <v>0.20100000000000001</v>
      </c>
      <c r="O25" s="12">
        <v>0.16700000000000001</v>
      </c>
    </row>
    <row r="26" spans="2:15" ht="15.5">
      <c r="B26" s="50">
        <v>18</v>
      </c>
      <c r="C26" s="12">
        <v>0.83499999999999996</v>
      </c>
      <c r="D26" s="13">
        <v>0.76200000000000001</v>
      </c>
      <c r="E26" s="12">
        <v>0.69499999999999995</v>
      </c>
      <c r="F26" s="13">
        <v>0.63400000000000001</v>
      </c>
      <c r="G26" s="12">
        <v>0.57799999999999996</v>
      </c>
      <c r="H26" s="13">
        <v>0.52700000000000002</v>
      </c>
      <c r="I26" s="12">
        <v>0.48</v>
      </c>
      <c r="J26" s="13">
        <v>0.39700000000000002</v>
      </c>
      <c r="K26" s="12">
        <v>0.32800000000000001</v>
      </c>
      <c r="L26" s="13">
        <v>0.27100000000000002</v>
      </c>
      <c r="M26" s="12">
        <v>0.223</v>
      </c>
      <c r="N26" s="13">
        <v>0.183</v>
      </c>
      <c r="O26" s="12">
        <v>0.15</v>
      </c>
    </row>
    <row r="27" spans="2:15" ht="15.5">
      <c r="B27" s="50">
        <v>19</v>
      </c>
      <c r="C27" s="12">
        <v>0.82599999999999996</v>
      </c>
      <c r="D27" s="13">
        <v>0.75</v>
      </c>
      <c r="E27" s="12">
        <v>0.68100000000000005</v>
      </c>
      <c r="F27" s="13">
        <v>0.61799999999999999</v>
      </c>
      <c r="G27" s="12">
        <v>0.56100000000000005</v>
      </c>
      <c r="H27" s="13">
        <v>0.50800000000000001</v>
      </c>
      <c r="I27" s="12">
        <v>0.46</v>
      </c>
      <c r="J27" s="13">
        <v>0.377</v>
      </c>
      <c r="K27" s="12">
        <v>0.309</v>
      </c>
      <c r="L27" s="13">
        <v>0.252</v>
      </c>
      <c r="M27" s="12">
        <v>0.20499999999999999</v>
      </c>
      <c r="N27" s="13">
        <v>0.16700000000000001</v>
      </c>
      <c r="O27" s="12">
        <v>0.13500000000000001</v>
      </c>
    </row>
    <row r="28" spans="2:15" ht="15.5">
      <c r="B28" s="50">
        <v>20</v>
      </c>
      <c r="C28" s="12">
        <v>0.81799999999999995</v>
      </c>
      <c r="D28" s="13">
        <v>0.73899999999999999</v>
      </c>
      <c r="E28" s="12">
        <v>0.66800000000000004</v>
      </c>
      <c r="F28" s="13">
        <v>0.60299999999999998</v>
      </c>
      <c r="G28" s="12">
        <v>0.54400000000000004</v>
      </c>
      <c r="H28" s="13">
        <v>0.49</v>
      </c>
      <c r="I28" s="12">
        <v>0.442</v>
      </c>
      <c r="J28" s="13">
        <v>0.35799999999999998</v>
      </c>
      <c r="K28" s="12">
        <v>0.28999999999999998</v>
      </c>
      <c r="L28" s="13">
        <v>0.23400000000000001</v>
      </c>
      <c r="M28" s="12">
        <v>0.189</v>
      </c>
      <c r="N28" s="13">
        <v>0.152</v>
      </c>
      <c r="O28" s="12">
        <v>0.122</v>
      </c>
    </row>
    <row r="29" spans="2:15" ht="15.5">
      <c r="B29" s="50">
        <v>21</v>
      </c>
      <c r="C29" s="12">
        <v>0.81</v>
      </c>
      <c r="D29" s="13">
        <v>0.72799999999999998</v>
      </c>
      <c r="E29" s="12">
        <v>0.65400000000000003</v>
      </c>
      <c r="F29" s="13">
        <v>0.58799999999999997</v>
      </c>
      <c r="G29" s="12">
        <v>0.52700000000000002</v>
      </c>
      <c r="H29" s="13">
        <v>0.47299999999999998</v>
      </c>
      <c r="I29" s="12">
        <v>0.42399999999999999</v>
      </c>
      <c r="J29" s="13">
        <v>0.34100000000000003</v>
      </c>
      <c r="K29" s="12">
        <v>0.27300000000000002</v>
      </c>
      <c r="L29" s="13">
        <v>0.218</v>
      </c>
      <c r="M29" s="12">
        <v>0.17399999999999999</v>
      </c>
      <c r="N29" s="13">
        <v>0.13800000000000001</v>
      </c>
      <c r="O29" s="12">
        <v>0.109</v>
      </c>
    </row>
    <row r="30" spans="2:15" ht="15.5">
      <c r="B30" s="50">
        <v>22</v>
      </c>
      <c r="C30" s="12">
        <v>0.80200000000000005</v>
      </c>
      <c r="D30" s="13">
        <v>0.71699999999999997</v>
      </c>
      <c r="E30" s="12">
        <v>0.64100000000000001</v>
      </c>
      <c r="F30" s="13">
        <v>0.57299999999999995</v>
      </c>
      <c r="G30" s="12">
        <v>0.51200000000000001</v>
      </c>
      <c r="H30" s="13">
        <v>0.45700000000000002</v>
      </c>
      <c r="I30" s="12">
        <v>0.40699999999999997</v>
      </c>
      <c r="J30" s="13">
        <v>0.32400000000000001</v>
      </c>
      <c r="K30" s="12">
        <v>0.25600000000000001</v>
      </c>
      <c r="L30" s="13">
        <v>0.20300000000000001</v>
      </c>
      <c r="M30" s="12">
        <v>0.16</v>
      </c>
      <c r="N30" s="13">
        <v>0.126</v>
      </c>
      <c r="O30" s="12">
        <v>9.8000000000000004E-2</v>
      </c>
    </row>
    <row r="31" spans="2:15" ht="15.5">
      <c r="B31" s="50">
        <v>23</v>
      </c>
      <c r="C31" s="12">
        <v>0.79400000000000004</v>
      </c>
      <c r="D31" s="13">
        <v>0.70599999999999996</v>
      </c>
      <c r="E31" s="12">
        <v>0.628</v>
      </c>
      <c r="F31" s="13">
        <v>0.55900000000000005</v>
      </c>
      <c r="G31" s="12">
        <v>0.496</v>
      </c>
      <c r="H31" s="13">
        <v>0.441</v>
      </c>
      <c r="I31" s="12">
        <v>0.39100000000000001</v>
      </c>
      <c r="J31" s="13">
        <v>0.307</v>
      </c>
      <c r="K31" s="12">
        <v>0.24099999999999999</v>
      </c>
      <c r="L31" s="13">
        <v>0.188</v>
      </c>
      <c r="M31" s="12">
        <v>0.14699999999999999</v>
      </c>
      <c r="N31" s="13">
        <v>0.114</v>
      </c>
      <c r="O31" s="12">
        <v>8.8999999999999996E-2</v>
      </c>
    </row>
    <row r="32" spans="2:15" ht="15.5">
      <c r="B32" s="50">
        <v>24</v>
      </c>
      <c r="C32" s="12">
        <v>0.78600000000000003</v>
      </c>
      <c r="D32" s="13">
        <v>0.69599999999999995</v>
      </c>
      <c r="E32" s="12">
        <v>0.61599999999999999</v>
      </c>
      <c r="F32" s="13">
        <v>0.54500000000000004</v>
      </c>
      <c r="G32" s="12">
        <v>0.48099999999999998</v>
      </c>
      <c r="H32" s="13">
        <v>0.42499999999999999</v>
      </c>
      <c r="I32" s="12">
        <v>0.375</v>
      </c>
      <c r="J32" s="13">
        <v>0.29199999999999998</v>
      </c>
      <c r="K32" s="12">
        <v>0.22700000000000001</v>
      </c>
      <c r="L32" s="13">
        <v>0.17499999999999999</v>
      </c>
      <c r="M32" s="12">
        <v>0.13500000000000001</v>
      </c>
      <c r="N32" s="13">
        <v>0.104</v>
      </c>
      <c r="O32" s="12">
        <v>0.08</v>
      </c>
    </row>
    <row r="33" spans="2:15" ht="15.5">
      <c r="B33" s="50">
        <v>25</v>
      </c>
      <c r="C33" s="12">
        <v>0.77800000000000002</v>
      </c>
      <c r="D33" s="13">
        <v>0.68500000000000005</v>
      </c>
      <c r="E33" s="12">
        <v>0.60299999999999998</v>
      </c>
      <c r="F33" s="13">
        <v>0.53100000000000003</v>
      </c>
      <c r="G33" s="12">
        <v>0.46700000000000003</v>
      </c>
      <c r="H33" s="13">
        <v>0.41</v>
      </c>
      <c r="I33" s="12">
        <v>0.36</v>
      </c>
      <c r="J33" s="13">
        <v>0.27700000000000002</v>
      </c>
      <c r="K33" s="12">
        <v>0.21299999999999999</v>
      </c>
      <c r="L33" s="13">
        <v>0.16300000000000001</v>
      </c>
      <c r="M33" s="12">
        <v>0.124</v>
      </c>
      <c r="N33" s="13">
        <v>9.5000000000000001E-2</v>
      </c>
      <c r="O33" s="12">
        <v>7.1999999999999995E-2</v>
      </c>
    </row>
    <row r="34" spans="2:15" ht="15.5">
      <c r="B34" s="50">
        <v>26</v>
      </c>
      <c r="C34" s="12">
        <v>0.77</v>
      </c>
      <c r="D34" s="13">
        <v>0.67500000000000004</v>
      </c>
      <c r="E34" s="12">
        <v>0.59099999999999997</v>
      </c>
      <c r="F34" s="13">
        <v>0.51800000000000002</v>
      </c>
      <c r="G34" s="12">
        <v>0.45300000000000001</v>
      </c>
      <c r="H34" s="13">
        <v>0.39600000000000002</v>
      </c>
      <c r="I34" s="12">
        <v>0.34599999999999997</v>
      </c>
      <c r="J34" s="13">
        <v>0.26400000000000001</v>
      </c>
      <c r="K34" s="12">
        <v>0.2</v>
      </c>
      <c r="L34" s="13">
        <v>0.152</v>
      </c>
      <c r="M34" s="12">
        <v>0.114</v>
      </c>
      <c r="N34" s="13">
        <v>8.5999999999999993E-2</v>
      </c>
      <c r="O34" s="12">
        <v>6.5000000000000002E-2</v>
      </c>
    </row>
    <row r="35" spans="2:15" ht="15.5">
      <c r="B35" s="50">
        <v>27</v>
      </c>
      <c r="C35" s="12">
        <v>0.76200000000000001</v>
      </c>
      <c r="D35" s="13">
        <v>0.66500000000000004</v>
      </c>
      <c r="E35" s="12">
        <v>0.57999999999999996</v>
      </c>
      <c r="F35" s="13">
        <v>0.505</v>
      </c>
      <c r="G35" s="12">
        <v>0.439</v>
      </c>
      <c r="H35" s="13">
        <v>0.38200000000000001</v>
      </c>
      <c r="I35" s="12">
        <v>0.33200000000000002</v>
      </c>
      <c r="J35" s="13">
        <v>0.25</v>
      </c>
      <c r="K35" s="12">
        <v>0.188</v>
      </c>
      <c r="L35" s="13">
        <v>0.14099999999999999</v>
      </c>
      <c r="M35" s="12">
        <v>0.105</v>
      </c>
      <c r="N35" s="13">
        <v>7.8E-2</v>
      </c>
      <c r="O35" s="12">
        <v>5.8000000000000003E-2</v>
      </c>
    </row>
    <row r="36" spans="2:15" ht="15.5">
      <c r="B36" s="50">
        <v>28</v>
      </c>
      <c r="C36" s="12">
        <v>0.755</v>
      </c>
      <c r="D36" s="13">
        <v>0.65500000000000003</v>
      </c>
      <c r="E36" s="12">
        <v>0.56799999999999995</v>
      </c>
      <c r="F36" s="13">
        <v>0.49199999999999999</v>
      </c>
      <c r="G36" s="12">
        <v>0.42599999999999999</v>
      </c>
      <c r="H36" s="13">
        <v>0.36899999999999999</v>
      </c>
      <c r="I36" s="12">
        <v>0.31900000000000001</v>
      </c>
      <c r="J36" s="13">
        <v>0.23799999999999999</v>
      </c>
      <c r="K36" s="12">
        <v>0.17699999999999999</v>
      </c>
      <c r="L36" s="13">
        <v>0.13100000000000001</v>
      </c>
      <c r="M36" s="12">
        <v>9.7000000000000003E-2</v>
      </c>
      <c r="N36" s="13">
        <v>7.0999999999999994E-2</v>
      </c>
      <c r="O36" s="12">
        <v>5.1999999999999998E-2</v>
      </c>
    </row>
    <row r="37" spans="2:15" ht="15.5">
      <c r="B37" s="50">
        <v>29</v>
      </c>
      <c r="C37" s="12">
        <v>0.747</v>
      </c>
      <c r="D37" s="13">
        <v>0.64500000000000002</v>
      </c>
      <c r="E37" s="12">
        <v>0.55700000000000005</v>
      </c>
      <c r="F37" s="13">
        <v>0.48</v>
      </c>
      <c r="G37" s="12">
        <v>0.41299999999999998</v>
      </c>
      <c r="H37" s="13">
        <v>0.35599999999999998</v>
      </c>
      <c r="I37" s="12">
        <v>0.30599999999999999</v>
      </c>
      <c r="J37" s="13">
        <v>0.22600000000000001</v>
      </c>
      <c r="K37" s="12">
        <v>0.16600000000000001</v>
      </c>
      <c r="L37" s="13">
        <v>0.122</v>
      </c>
      <c r="M37" s="12">
        <v>8.8999999999999996E-2</v>
      </c>
      <c r="N37" s="13">
        <v>6.5000000000000002E-2</v>
      </c>
      <c r="O37" s="12">
        <v>4.7E-2</v>
      </c>
    </row>
    <row r="38" spans="2:15" ht="15.5">
      <c r="B38" s="50">
        <v>30</v>
      </c>
      <c r="C38" s="12">
        <v>0.74</v>
      </c>
      <c r="D38" s="13">
        <v>0.63500000000000001</v>
      </c>
      <c r="E38" s="12">
        <v>0.54500000000000004</v>
      </c>
      <c r="F38" s="13">
        <v>0.46800000000000003</v>
      </c>
      <c r="G38" s="12">
        <v>0.40100000000000002</v>
      </c>
      <c r="H38" s="13">
        <v>0.34300000000000003</v>
      </c>
      <c r="I38" s="12">
        <v>0.29399999999999998</v>
      </c>
      <c r="J38" s="13">
        <v>0.215</v>
      </c>
      <c r="K38" s="12">
        <v>0.156</v>
      </c>
      <c r="L38" s="13">
        <v>0.113</v>
      </c>
      <c r="M38" s="12">
        <v>8.2000000000000003E-2</v>
      </c>
      <c r="N38" s="13">
        <v>5.8999999999999997E-2</v>
      </c>
      <c r="O38" s="12">
        <v>4.2000000000000003E-2</v>
      </c>
    </row>
    <row r="39" spans="2:15" ht="15.5">
      <c r="B39" s="50">
        <v>31</v>
      </c>
      <c r="C39" s="12">
        <v>0.73199999999999998</v>
      </c>
      <c r="D39" s="13">
        <v>0.626</v>
      </c>
      <c r="E39" s="12">
        <v>0.53500000000000003</v>
      </c>
      <c r="F39" s="13">
        <v>0.45600000000000002</v>
      </c>
      <c r="G39" s="12">
        <v>0.38900000000000001</v>
      </c>
      <c r="H39" s="13">
        <v>0.33100000000000002</v>
      </c>
      <c r="I39" s="12">
        <v>0.28199999999999997</v>
      </c>
      <c r="J39" s="13">
        <v>0.20399999999999999</v>
      </c>
      <c r="K39" s="12">
        <v>0.14699999999999999</v>
      </c>
      <c r="L39" s="13">
        <v>0.105</v>
      </c>
      <c r="M39" s="12">
        <v>7.4999999999999997E-2</v>
      </c>
      <c r="N39" s="13">
        <v>5.3999999999999999E-2</v>
      </c>
      <c r="O39" s="12">
        <v>3.7999999999999999E-2</v>
      </c>
    </row>
    <row r="40" spans="2:15" ht="15.5">
      <c r="B40" s="50">
        <v>32</v>
      </c>
      <c r="C40" s="12">
        <v>0.72499999999999998</v>
      </c>
      <c r="D40" s="13">
        <v>0.61699999999999999</v>
      </c>
      <c r="E40" s="12">
        <v>0.52400000000000002</v>
      </c>
      <c r="F40" s="13">
        <v>0.44500000000000001</v>
      </c>
      <c r="G40" s="12">
        <v>0.377</v>
      </c>
      <c r="H40" s="13">
        <v>0.32</v>
      </c>
      <c r="I40" s="12">
        <v>0.27100000000000002</v>
      </c>
      <c r="J40" s="13">
        <v>0.19400000000000001</v>
      </c>
      <c r="K40" s="12">
        <v>0.13800000000000001</v>
      </c>
      <c r="L40" s="13">
        <v>9.8000000000000004E-2</v>
      </c>
      <c r="M40" s="12">
        <v>6.9000000000000006E-2</v>
      </c>
      <c r="N40" s="13">
        <v>4.9000000000000002E-2</v>
      </c>
      <c r="O40" s="12">
        <v>3.4000000000000002E-2</v>
      </c>
    </row>
    <row r="41" spans="2:15" ht="15.5">
      <c r="B41" s="50">
        <v>33</v>
      </c>
      <c r="C41" s="12">
        <v>0.71799999999999997</v>
      </c>
      <c r="D41" s="13">
        <v>0.60699999999999998</v>
      </c>
      <c r="E41" s="12">
        <v>0.51300000000000001</v>
      </c>
      <c r="F41" s="13">
        <v>0.434</v>
      </c>
      <c r="G41" s="12">
        <v>0.36599999999999999</v>
      </c>
      <c r="H41" s="13">
        <v>0.309</v>
      </c>
      <c r="I41" s="12">
        <v>0.26</v>
      </c>
      <c r="J41" s="13">
        <v>0.184</v>
      </c>
      <c r="K41" s="12">
        <v>0.13</v>
      </c>
      <c r="L41" s="13">
        <v>9.0999999999999998E-2</v>
      </c>
      <c r="M41" s="12">
        <v>6.4000000000000001E-2</v>
      </c>
      <c r="N41" s="13">
        <v>4.4999999999999998E-2</v>
      </c>
      <c r="O41" s="12">
        <v>3.1E-2</v>
      </c>
    </row>
    <row r="42" spans="2:15" ht="15.5">
      <c r="B42" s="50">
        <v>34</v>
      </c>
      <c r="C42" s="12">
        <v>0.71099999999999997</v>
      </c>
      <c r="D42" s="13">
        <v>0.59799999999999998</v>
      </c>
      <c r="E42" s="12">
        <v>0.503</v>
      </c>
      <c r="F42" s="13">
        <v>0.42299999999999999</v>
      </c>
      <c r="G42" s="12">
        <v>0.35499999999999998</v>
      </c>
      <c r="H42" s="13">
        <v>0.29799999999999999</v>
      </c>
      <c r="I42" s="12">
        <v>0.25</v>
      </c>
      <c r="J42" s="13">
        <v>0.17499999999999999</v>
      </c>
      <c r="K42" s="12">
        <v>0.122</v>
      </c>
      <c r="L42" s="13">
        <v>8.5000000000000006E-2</v>
      </c>
      <c r="M42" s="12">
        <v>5.8999999999999997E-2</v>
      </c>
      <c r="N42" s="13">
        <v>0.04</v>
      </c>
      <c r="O42" s="12">
        <v>2.8000000000000001E-2</v>
      </c>
    </row>
    <row r="43" spans="2:15" ht="15.5">
      <c r="B43" s="50">
        <v>35</v>
      </c>
      <c r="C43" s="12">
        <v>0.70299999999999996</v>
      </c>
      <c r="D43" s="13">
        <v>0.58899999999999997</v>
      </c>
      <c r="E43" s="12">
        <v>0.49299999999999999</v>
      </c>
      <c r="F43" s="13">
        <v>0.41199999999999998</v>
      </c>
      <c r="G43" s="12">
        <v>0.34399999999999997</v>
      </c>
      <c r="H43" s="13">
        <v>0.28699999999999998</v>
      </c>
      <c r="I43" s="12">
        <v>0.24</v>
      </c>
      <c r="J43" s="13">
        <v>0.16600000000000001</v>
      </c>
      <c r="K43" s="12">
        <v>0.115</v>
      </c>
      <c r="L43" s="13">
        <v>7.9000000000000001E-2</v>
      </c>
      <c r="M43" s="12">
        <v>5.3999999999999999E-2</v>
      </c>
      <c r="N43" s="13">
        <v>3.6999999999999998E-2</v>
      </c>
      <c r="O43" s="12">
        <v>2.5000000000000001E-2</v>
      </c>
    </row>
    <row r="44" spans="2:15" ht="15.5">
      <c r="B44" s="50">
        <v>36</v>
      </c>
      <c r="C44" s="12">
        <v>0.69599999999999995</v>
      </c>
      <c r="D44" s="13">
        <v>0.57999999999999996</v>
      </c>
      <c r="E44" s="12">
        <v>0.48299999999999998</v>
      </c>
      <c r="F44" s="13">
        <v>0.40200000000000002</v>
      </c>
      <c r="G44" s="12">
        <v>0.33400000000000002</v>
      </c>
      <c r="H44" s="13">
        <v>0.27700000000000002</v>
      </c>
      <c r="I44" s="12">
        <v>0.23</v>
      </c>
      <c r="J44" s="13">
        <v>0.158</v>
      </c>
      <c r="K44" s="12">
        <v>0.108</v>
      </c>
      <c r="L44" s="13">
        <v>7.2999999999999995E-2</v>
      </c>
      <c r="M44" s="12">
        <v>0.05</v>
      </c>
      <c r="N44" s="13">
        <v>3.4000000000000002E-2</v>
      </c>
      <c r="O44" s="12">
        <v>2.3E-2</v>
      </c>
    </row>
    <row r="45" spans="2:15" ht="15.5">
      <c r="B45" s="50">
        <v>37</v>
      </c>
      <c r="C45" s="12">
        <v>0.68899999999999995</v>
      </c>
      <c r="D45" s="13">
        <v>0.57199999999999995</v>
      </c>
      <c r="E45" s="12">
        <v>0.47399999999999998</v>
      </c>
      <c r="F45" s="13">
        <v>0.39200000000000002</v>
      </c>
      <c r="G45" s="12">
        <v>0.32400000000000001</v>
      </c>
      <c r="H45" s="13">
        <v>0.26800000000000002</v>
      </c>
      <c r="I45" s="12">
        <v>0.221</v>
      </c>
      <c r="J45" s="13">
        <v>0.15</v>
      </c>
      <c r="K45" s="12">
        <v>0.10100000000000001</v>
      </c>
      <c r="L45" s="13">
        <v>6.8000000000000005E-2</v>
      </c>
      <c r="M45" s="12">
        <v>4.5999999999999999E-2</v>
      </c>
      <c r="N45" s="13">
        <v>3.1E-2</v>
      </c>
      <c r="O45" s="12">
        <v>0.02</v>
      </c>
    </row>
    <row r="46" spans="2:15" ht="15.5">
      <c r="B46" s="50">
        <v>38</v>
      </c>
      <c r="C46" s="12">
        <v>0.68300000000000005</v>
      </c>
      <c r="D46" s="13">
        <v>0.56299999999999994</v>
      </c>
      <c r="E46" s="12">
        <v>0.46400000000000002</v>
      </c>
      <c r="F46" s="13">
        <v>0.38200000000000001</v>
      </c>
      <c r="G46" s="12">
        <v>0.314</v>
      </c>
      <c r="H46" s="13">
        <v>0.25800000000000001</v>
      </c>
      <c r="I46" s="12">
        <v>0.21199999999999999</v>
      </c>
      <c r="J46" s="13">
        <v>0.14199999999999999</v>
      </c>
      <c r="K46" s="12">
        <v>9.5000000000000001E-2</v>
      </c>
      <c r="L46" s="13">
        <v>6.3E-2</v>
      </c>
      <c r="M46" s="12">
        <v>4.2000000000000003E-2</v>
      </c>
      <c r="N46" s="13">
        <v>2.8000000000000001E-2</v>
      </c>
      <c r="O46" s="12">
        <v>1.7999999999999999E-2</v>
      </c>
    </row>
    <row r="47" spans="2:15" ht="15.5">
      <c r="B47" s="50">
        <v>39</v>
      </c>
      <c r="C47" s="12">
        <v>0.67600000000000005</v>
      </c>
      <c r="D47" s="13">
        <v>0.55500000000000005</v>
      </c>
      <c r="E47" s="12">
        <v>0.45500000000000002</v>
      </c>
      <c r="F47" s="13">
        <v>0.373</v>
      </c>
      <c r="G47" s="12">
        <v>0.30499999999999999</v>
      </c>
      <c r="H47" s="13">
        <v>0.249</v>
      </c>
      <c r="I47" s="12">
        <v>0.20399999999999999</v>
      </c>
      <c r="J47" s="13">
        <v>0.13500000000000001</v>
      </c>
      <c r="K47" s="12">
        <v>0.09</v>
      </c>
      <c r="L47" s="13">
        <v>5.8999999999999997E-2</v>
      </c>
      <c r="M47" s="12">
        <v>3.9E-2</v>
      </c>
      <c r="N47" s="13">
        <v>2.5000000000000001E-2</v>
      </c>
      <c r="O47" s="12">
        <v>1.6E-2</v>
      </c>
    </row>
    <row r="48" spans="2:15" ht="15.5">
      <c r="B48" s="50">
        <v>40</v>
      </c>
      <c r="C48" s="12">
        <v>0.66900000000000004</v>
      </c>
      <c r="D48" s="13">
        <v>0.54600000000000004</v>
      </c>
      <c r="E48" s="12">
        <v>0.44600000000000001</v>
      </c>
      <c r="F48" s="13">
        <v>0.36299999999999999</v>
      </c>
      <c r="G48" s="12">
        <v>0.29599999999999999</v>
      </c>
      <c r="H48" s="13">
        <v>0.24</v>
      </c>
      <c r="I48" s="12">
        <v>0.19500000000000001</v>
      </c>
      <c r="J48" s="13">
        <v>0.129</v>
      </c>
      <c r="K48" s="12">
        <v>8.4000000000000005E-2</v>
      </c>
      <c r="L48" s="13">
        <v>5.5E-2</v>
      </c>
      <c r="M48" s="12">
        <v>3.5999999999999997E-2</v>
      </c>
      <c r="N48" s="13">
        <v>2.3E-2</v>
      </c>
      <c r="O48" s="12">
        <v>1.4999999999999999E-2</v>
      </c>
    </row>
    <row r="49" spans="2:15" ht="15.5">
      <c r="B49" s="50">
        <v>41</v>
      </c>
      <c r="C49" s="395">
        <f>C48*0.99</f>
        <v>0.66231000000000007</v>
      </c>
      <c r="D49" s="13">
        <f>D48*0.985</f>
        <v>0.53781000000000001</v>
      </c>
      <c r="E49" s="12">
        <f>E48*0.98</f>
        <v>0.43708000000000002</v>
      </c>
      <c r="F49" s="13">
        <f>F48*0.975</f>
        <v>0.35392499999999999</v>
      </c>
      <c r="G49" s="12">
        <f>G48*0.97</f>
        <v>0.28711999999999999</v>
      </c>
      <c r="H49" s="13">
        <f>H48*0.965</f>
        <v>0.23159999999999997</v>
      </c>
      <c r="I49" s="12">
        <f>I48*0.96</f>
        <v>0.18720000000000001</v>
      </c>
      <c r="J49" s="13">
        <f>J48*0.95</f>
        <v>0.12254999999999999</v>
      </c>
      <c r="K49" s="12">
        <f>K48*0.94</f>
        <v>7.8960000000000002E-2</v>
      </c>
      <c r="L49" s="13">
        <f>L48*0.93</f>
        <v>5.1150000000000001E-2</v>
      </c>
      <c r="M49" s="12">
        <f>M48*0.92</f>
        <v>3.3119999999999997E-2</v>
      </c>
      <c r="N49" s="13">
        <f>N48*0.91</f>
        <v>2.0930000000000001E-2</v>
      </c>
      <c r="O49" s="12">
        <f>O48*0.9</f>
        <v>1.35E-2</v>
      </c>
    </row>
    <row r="50" spans="2:15" ht="15.5">
      <c r="B50" s="50">
        <v>42</v>
      </c>
      <c r="C50" s="394">
        <f t="shared" ref="C50:C58" si="0">C49*0.99</f>
        <v>0.65568690000000007</v>
      </c>
      <c r="D50" s="13">
        <f t="shared" ref="D50:D58" si="1">D49*0.985</f>
        <v>0.52974284999999999</v>
      </c>
      <c r="E50" s="12">
        <f t="shared" ref="E50:E58" si="2">E49*0.98</f>
        <v>0.42833840000000001</v>
      </c>
      <c r="F50" s="13">
        <f t="shared" ref="F50:F58" si="3">F49*0.975</f>
        <v>0.34507687500000001</v>
      </c>
      <c r="G50" s="12">
        <f t="shared" ref="G50:G58" si="4">G49*0.97</f>
        <v>0.27850639999999999</v>
      </c>
      <c r="H50" s="13">
        <f t="shared" ref="H50:H58" si="5">H49*0.965</f>
        <v>0.22349399999999997</v>
      </c>
      <c r="I50" s="12">
        <f t="shared" ref="I50:I58" si="6">I49*0.96</f>
        <v>0.17971200000000001</v>
      </c>
      <c r="J50" s="13">
        <f t="shared" ref="J50:J58" si="7">J49*0.95</f>
        <v>0.11642249999999998</v>
      </c>
      <c r="K50" s="12">
        <f t="shared" ref="K50:K58" si="8">K49*0.94</f>
        <v>7.4222399999999994E-2</v>
      </c>
      <c r="L50" s="13">
        <f t="shared" ref="L50:L58" si="9">L49*0.93</f>
        <v>4.7569500000000001E-2</v>
      </c>
      <c r="M50" s="12">
        <f t="shared" ref="M50:M58" si="10">M49*0.92</f>
        <v>3.0470399999999998E-2</v>
      </c>
      <c r="N50" s="13">
        <f t="shared" ref="N50:N58" si="11">N49*0.91</f>
        <v>1.9046300000000002E-2</v>
      </c>
      <c r="O50" s="12">
        <f t="shared" ref="O50:O58" si="12">O49*0.9</f>
        <v>1.2149999999999999E-2</v>
      </c>
    </row>
    <row r="51" spans="2:15" ht="15.5">
      <c r="B51" s="50">
        <v>43</v>
      </c>
      <c r="C51" s="394">
        <f t="shared" si="0"/>
        <v>0.64913003100000011</v>
      </c>
      <c r="D51" s="13">
        <f t="shared" si="1"/>
        <v>0.52179670724999994</v>
      </c>
      <c r="E51" s="12">
        <f t="shared" si="2"/>
        <v>0.41977163200000001</v>
      </c>
      <c r="F51" s="13">
        <f t="shared" si="3"/>
        <v>0.33644995312499998</v>
      </c>
      <c r="G51" s="12">
        <f t="shared" si="4"/>
        <v>0.27015120799999998</v>
      </c>
      <c r="H51" s="13">
        <f t="shared" si="5"/>
        <v>0.21567170999999996</v>
      </c>
      <c r="I51" s="12">
        <f t="shared" si="6"/>
        <v>0.17252352000000001</v>
      </c>
      <c r="J51" s="13">
        <f t="shared" si="7"/>
        <v>0.11060137499999997</v>
      </c>
      <c r="K51" s="12">
        <f t="shared" si="8"/>
        <v>6.9769055999999996E-2</v>
      </c>
      <c r="L51" s="13">
        <f t="shared" si="9"/>
        <v>4.4239635000000006E-2</v>
      </c>
      <c r="M51" s="12">
        <f t="shared" si="10"/>
        <v>2.8032768E-2</v>
      </c>
      <c r="N51" s="13">
        <f t="shared" si="11"/>
        <v>1.7332133000000003E-2</v>
      </c>
      <c r="O51" s="12">
        <f t="shared" si="12"/>
        <v>1.0935E-2</v>
      </c>
    </row>
    <row r="52" spans="2:15" ht="15.5">
      <c r="B52" s="50">
        <v>44</v>
      </c>
      <c r="C52" s="394">
        <f t="shared" si="0"/>
        <v>0.6426387306900001</v>
      </c>
      <c r="D52" s="13">
        <f t="shared" si="1"/>
        <v>0.51396975664124989</v>
      </c>
      <c r="E52" s="12">
        <f t="shared" si="2"/>
        <v>0.41137619935999997</v>
      </c>
      <c r="F52" s="13">
        <f t="shared" si="3"/>
        <v>0.32803870429687498</v>
      </c>
      <c r="G52" s="12">
        <f t="shared" si="4"/>
        <v>0.26204667175999996</v>
      </c>
      <c r="H52" s="13">
        <f t="shared" si="5"/>
        <v>0.20812320014999997</v>
      </c>
      <c r="I52" s="12">
        <f t="shared" si="6"/>
        <v>0.16562257920000001</v>
      </c>
      <c r="J52" s="13">
        <f t="shared" si="7"/>
        <v>0.10507130624999997</v>
      </c>
      <c r="K52" s="12">
        <f t="shared" si="8"/>
        <v>6.5582912639999991E-2</v>
      </c>
      <c r="L52" s="13">
        <f t="shared" si="9"/>
        <v>4.1142860550000007E-2</v>
      </c>
      <c r="M52" s="12">
        <f t="shared" si="10"/>
        <v>2.5790146560000001E-2</v>
      </c>
      <c r="N52" s="13">
        <f t="shared" si="11"/>
        <v>1.5772241030000002E-2</v>
      </c>
      <c r="O52" s="12">
        <f t="shared" si="12"/>
        <v>9.8415000000000013E-3</v>
      </c>
    </row>
    <row r="53" spans="2:15" ht="15.5">
      <c r="B53" s="50">
        <v>45</v>
      </c>
      <c r="C53" s="394">
        <f t="shared" si="0"/>
        <v>0.63621234338310007</v>
      </c>
      <c r="D53" s="13">
        <f t="shared" si="1"/>
        <v>0.50626021029163115</v>
      </c>
      <c r="E53" s="12">
        <f t="shared" si="2"/>
        <v>0.40314867537279997</v>
      </c>
      <c r="F53" s="13">
        <f t="shared" si="3"/>
        <v>0.31983773668945309</v>
      </c>
      <c r="G53" s="12">
        <f t="shared" si="4"/>
        <v>0.25418527160719995</v>
      </c>
      <c r="H53" s="13">
        <f t="shared" si="5"/>
        <v>0.20083888814474996</v>
      </c>
      <c r="I53" s="12">
        <f t="shared" si="6"/>
        <v>0.15899767603199999</v>
      </c>
      <c r="J53" s="13">
        <f t="shared" si="7"/>
        <v>9.9817740937499969E-2</v>
      </c>
      <c r="K53" s="12">
        <f t="shared" si="8"/>
        <v>6.1647937881599987E-2</v>
      </c>
      <c r="L53" s="13">
        <f t="shared" si="9"/>
        <v>3.8262860311500009E-2</v>
      </c>
      <c r="M53" s="12">
        <f t="shared" si="10"/>
        <v>2.3726934835200001E-2</v>
      </c>
      <c r="N53" s="13">
        <f t="shared" si="11"/>
        <v>1.4352739337300002E-2</v>
      </c>
      <c r="O53" s="12">
        <f t="shared" si="12"/>
        <v>8.8573500000000017E-3</v>
      </c>
    </row>
    <row r="54" spans="2:15" ht="15.5">
      <c r="B54" s="50">
        <v>46</v>
      </c>
      <c r="C54" s="394">
        <f t="shared" si="0"/>
        <v>0.62985021994926904</v>
      </c>
      <c r="D54" s="13">
        <f t="shared" si="1"/>
        <v>0.49866630713725668</v>
      </c>
      <c r="E54" s="12">
        <f t="shared" si="2"/>
        <v>0.39508570186534397</v>
      </c>
      <c r="F54" s="13">
        <f t="shared" si="3"/>
        <v>0.31184179327221673</v>
      </c>
      <c r="G54" s="12">
        <f t="shared" si="4"/>
        <v>0.24655971345898395</v>
      </c>
      <c r="H54" s="13">
        <f t="shared" si="5"/>
        <v>0.19380952705968371</v>
      </c>
      <c r="I54" s="12">
        <f t="shared" si="6"/>
        <v>0.15263776899071999</v>
      </c>
      <c r="J54" s="13">
        <f t="shared" si="7"/>
        <v>9.4826853890624965E-2</v>
      </c>
      <c r="K54" s="12">
        <f t="shared" si="8"/>
        <v>5.7949061608703986E-2</v>
      </c>
      <c r="L54" s="13">
        <f t="shared" si="9"/>
        <v>3.5584460089695014E-2</v>
      </c>
      <c r="M54" s="12">
        <f t="shared" si="10"/>
        <v>2.1828780048384001E-2</v>
      </c>
      <c r="N54" s="13">
        <f t="shared" si="11"/>
        <v>1.3060992796943002E-2</v>
      </c>
      <c r="O54" s="12">
        <f t="shared" si="12"/>
        <v>7.9716150000000013E-3</v>
      </c>
    </row>
    <row r="55" spans="2:15" ht="15.5">
      <c r="B55" s="50">
        <v>47</v>
      </c>
      <c r="C55" s="394">
        <f t="shared" si="0"/>
        <v>0.62355171774977636</v>
      </c>
      <c r="D55" s="13">
        <f t="shared" si="1"/>
        <v>0.49118631253019784</v>
      </c>
      <c r="E55" s="12">
        <f t="shared" si="2"/>
        <v>0.38718398782803709</v>
      </c>
      <c r="F55" s="13">
        <f t="shared" si="3"/>
        <v>0.30404574844041132</v>
      </c>
      <c r="G55" s="12">
        <f t="shared" si="4"/>
        <v>0.23916292205521442</v>
      </c>
      <c r="H55" s="13">
        <f t="shared" si="5"/>
        <v>0.18702619361259479</v>
      </c>
      <c r="I55" s="12">
        <f t="shared" si="6"/>
        <v>0.14653225823109117</v>
      </c>
      <c r="J55" s="13">
        <f t="shared" si="7"/>
        <v>9.0085511196093718E-2</v>
      </c>
      <c r="K55" s="12">
        <f t="shared" si="8"/>
        <v>5.4472117912181747E-2</v>
      </c>
      <c r="L55" s="13">
        <f t="shared" si="9"/>
        <v>3.3093547883416362E-2</v>
      </c>
      <c r="M55" s="12">
        <f t="shared" si="10"/>
        <v>2.0082477644513281E-2</v>
      </c>
      <c r="N55" s="13">
        <f t="shared" si="11"/>
        <v>1.1885503445218132E-2</v>
      </c>
      <c r="O55" s="12">
        <f t="shared" si="12"/>
        <v>7.1744535000000014E-3</v>
      </c>
    </row>
    <row r="56" spans="2:15" ht="15.5">
      <c r="B56" s="50">
        <v>48</v>
      </c>
      <c r="C56" s="394">
        <f t="shared" si="0"/>
        <v>0.61731620057227854</v>
      </c>
      <c r="D56" s="13">
        <f t="shared" si="1"/>
        <v>0.48381851784224489</v>
      </c>
      <c r="E56" s="12">
        <f t="shared" si="2"/>
        <v>0.37944030807147633</v>
      </c>
      <c r="F56" s="13">
        <f t="shared" si="3"/>
        <v>0.29644460472940104</v>
      </c>
      <c r="G56" s="12">
        <f t="shared" si="4"/>
        <v>0.23198803439355797</v>
      </c>
      <c r="H56" s="13">
        <f t="shared" si="5"/>
        <v>0.18048027683615397</v>
      </c>
      <c r="I56" s="12">
        <f t="shared" si="6"/>
        <v>0.14067096790184752</v>
      </c>
      <c r="J56" s="13">
        <f t="shared" si="7"/>
        <v>8.5581235636289027E-2</v>
      </c>
      <c r="K56" s="12">
        <f t="shared" si="8"/>
        <v>5.1203790837450837E-2</v>
      </c>
      <c r="L56" s="13">
        <f t="shared" si="9"/>
        <v>3.0776999531577219E-2</v>
      </c>
      <c r="M56" s="12">
        <f t="shared" si="10"/>
        <v>1.847587943295222E-2</v>
      </c>
      <c r="N56" s="13">
        <f t="shared" si="11"/>
        <v>1.08158081351485E-2</v>
      </c>
      <c r="O56" s="12">
        <f t="shared" si="12"/>
        <v>6.4570081500000013E-3</v>
      </c>
    </row>
    <row r="57" spans="2:15" ht="15.5">
      <c r="B57" s="50">
        <v>49</v>
      </c>
      <c r="C57" s="394">
        <f t="shared" si="0"/>
        <v>0.61114303856655572</v>
      </c>
      <c r="D57" s="13">
        <f t="shared" si="1"/>
        <v>0.4765612400746112</v>
      </c>
      <c r="E57" s="12">
        <f t="shared" si="2"/>
        <v>0.37185150191004679</v>
      </c>
      <c r="F57" s="13">
        <f t="shared" si="3"/>
        <v>0.28903348961116598</v>
      </c>
      <c r="G57" s="12">
        <f t="shared" si="4"/>
        <v>0.22502839336175123</v>
      </c>
      <c r="H57" s="13">
        <f t="shared" si="5"/>
        <v>0.17416346714688857</v>
      </c>
      <c r="I57" s="12">
        <f t="shared" si="6"/>
        <v>0.1350441291857736</v>
      </c>
      <c r="J57" s="13">
        <f t="shared" si="7"/>
        <v>8.1302173854474566E-2</v>
      </c>
      <c r="K57" s="12">
        <f t="shared" si="8"/>
        <v>4.8131563387203785E-2</v>
      </c>
      <c r="L57" s="13">
        <f t="shared" si="9"/>
        <v>2.8622609564366814E-2</v>
      </c>
      <c r="M57" s="12">
        <f t="shared" si="10"/>
        <v>1.6997809078316044E-2</v>
      </c>
      <c r="N57" s="13">
        <f t="shared" si="11"/>
        <v>9.8423854029851352E-3</v>
      </c>
      <c r="O57" s="12">
        <f t="shared" si="12"/>
        <v>5.8113073350000016E-3</v>
      </c>
    </row>
    <row r="58" spans="2:15" ht="15.5">
      <c r="B58" s="50">
        <v>50</v>
      </c>
      <c r="C58" s="394">
        <f t="shared" si="0"/>
        <v>0.60503160818089019</v>
      </c>
      <c r="D58" s="13">
        <f t="shared" si="1"/>
        <v>0.469412821473492</v>
      </c>
      <c r="E58" s="12">
        <f t="shared" si="2"/>
        <v>0.36441447187184584</v>
      </c>
      <c r="F58" s="13">
        <f t="shared" si="3"/>
        <v>0.28180765237088684</v>
      </c>
      <c r="G58" s="12">
        <f t="shared" si="4"/>
        <v>0.21827754156089868</v>
      </c>
      <c r="H58" s="13">
        <f t="shared" si="5"/>
        <v>0.16806774579674746</v>
      </c>
      <c r="I58" s="12">
        <f t="shared" si="6"/>
        <v>0.12964236401834264</v>
      </c>
      <c r="J58" s="13">
        <f t="shared" si="7"/>
        <v>7.7237065161750829E-2</v>
      </c>
      <c r="K58" s="12">
        <f t="shared" si="8"/>
        <v>4.5243669583971559E-2</v>
      </c>
      <c r="L58" s="13">
        <f t="shared" si="9"/>
        <v>2.6619026894861137E-2</v>
      </c>
      <c r="M58" s="12">
        <f t="shared" si="10"/>
        <v>1.5637984352050761E-2</v>
      </c>
      <c r="N58" s="13">
        <f t="shared" si="11"/>
        <v>8.9565707167164731E-3</v>
      </c>
      <c r="O58" s="12">
        <f t="shared" si="12"/>
        <v>5.2301766015000013E-3</v>
      </c>
    </row>
    <row r="61" spans="2:15">
      <c r="H61" s="41" t="s">
        <v>226</v>
      </c>
    </row>
  </sheetData>
  <sheetProtection algorithmName="SHA-512" hashValue="4Y1L41bu18n+1Xl6OzQOyq3UObvkFnwNx/yq/QxaiT+rH+faT0OXITLhuDUBTQCisIkN57T16moeobAJtocDxQ==" saltValue="F6IgD5zKvA7rLqzWjmtztg==" spinCount="100000" sheet="1" objects="1" scenarios="1"/>
  <hyperlinks>
    <hyperlink ref="H61" location="'Eingabe Käuferdaten'!A1" display="Menü" xr:uid="{40ECA859-4CA2-4A04-B448-5BC0868AF453}"/>
  </hyperlinks>
  <pageMargins left="0.70866141732283472" right="0.70866141732283472" top="0.78740157480314965" bottom="0.78740157480314965" header="0.31496062992125984" footer="0.31496062992125984"/>
  <pageSetup paperSize="9" scale="8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28B6-8C1E-4E46-83AF-BAA514CE681B}">
  <sheetPr codeName="Tabelle17">
    <pageSetUpPr fitToPage="1"/>
  </sheetPr>
  <dimension ref="A1:W25"/>
  <sheetViews>
    <sheetView zoomScaleNormal="100" workbookViewId="0">
      <selection activeCell="H19" sqref="H19"/>
    </sheetView>
  </sheetViews>
  <sheetFormatPr baseColWidth="10" defaultColWidth="10.7265625" defaultRowHeight="12.5"/>
  <cols>
    <col min="1" max="1" width="11.81640625" bestFit="1" customWidth="1"/>
    <col min="2" max="2" width="19.7265625" bestFit="1" customWidth="1"/>
    <col min="4" max="4" width="8.54296875" bestFit="1" customWidth="1"/>
    <col min="5" max="5" width="19.7265625" bestFit="1" customWidth="1"/>
    <col min="7" max="7" width="7.7265625" bestFit="1" customWidth="1"/>
    <col min="8" max="8" width="20" bestFit="1" customWidth="1"/>
    <col min="10" max="10" width="20.26953125" bestFit="1" customWidth="1"/>
    <col min="11" max="11" width="16.7265625" bestFit="1" customWidth="1"/>
    <col min="12" max="12" width="11.54296875" customWidth="1"/>
    <col min="13" max="13" width="16" bestFit="1" customWidth="1"/>
    <col min="14" max="14" width="10.54296875" customWidth="1"/>
    <col min="15" max="15" width="31.26953125" bestFit="1" customWidth="1"/>
    <col min="16" max="16" width="12.54296875" customWidth="1"/>
    <col min="17" max="17" width="24.1796875" bestFit="1" customWidth="1"/>
    <col min="18" max="18" width="13.453125" customWidth="1"/>
    <col min="19" max="19" width="27.81640625" bestFit="1" customWidth="1"/>
    <col min="20" max="20" width="11" customWidth="1"/>
    <col min="21" max="21" width="42.54296875" bestFit="1" customWidth="1"/>
    <col min="22" max="22" width="7.1796875" customWidth="1"/>
    <col min="23" max="23" width="48.81640625" bestFit="1" customWidth="1"/>
  </cols>
  <sheetData>
    <row r="1" spans="1:23" ht="15.5">
      <c r="A1" s="22" t="s">
        <v>184</v>
      </c>
      <c r="B1" s="22" t="s">
        <v>185</v>
      </c>
      <c r="C1" s="22"/>
      <c r="D1" s="22" t="s">
        <v>186</v>
      </c>
      <c r="E1" s="22" t="s">
        <v>185</v>
      </c>
      <c r="F1" s="22"/>
      <c r="G1" s="22" t="s">
        <v>187</v>
      </c>
      <c r="H1" s="22" t="s">
        <v>188</v>
      </c>
      <c r="I1" s="22"/>
      <c r="J1" s="22" t="s">
        <v>189</v>
      </c>
      <c r="K1" s="22" t="s">
        <v>190</v>
      </c>
      <c r="L1" s="23"/>
      <c r="M1" s="23" t="s">
        <v>215</v>
      </c>
      <c r="N1" s="23"/>
      <c r="O1" s="23" t="s">
        <v>244</v>
      </c>
      <c r="P1" s="23"/>
      <c r="Q1" s="23" t="s">
        <v>243</v>
      </c>
      <c r="R1" s="23"/>
      <c r="S1" s="23" t="s">
        <v>363</v>
      </c>
      <c r="T1" s="23"/>
      <c r="U1" s="23" t="s">
        <v>364</v>
      </c>
      <c r="V1" s="23"/>
      <c r="W1" s="23" t="s">
        <v>365</v>
      </c>
    </row>
    <row r="2" spans="1:23" ht="15.5">
      <c r="A2" s="519">
        <v>1</v>
      </c>
      <c r="B2" s="520">
        <v>1450</v>
      </c>
      <c r="C2" s="519"/>
      <c r="D2" s="519">
        <v>0</v>
      </c>
      <c r="E2" s="520">
        <v>0</v>
      </c>
      <c r="F2" s="519"/>
      <c r="G2" s="519">
        <v>0</v>
      </c>
      <c r="H2" s="520">
        <v>0</v>
      </c>
      <c r="I2" s="519"/>
      <c r="J2" s="519" t="s">
        <v>191</v>
      </c>
      <c r="K2" s="521">
        <v>2</v>
      </c>
      <c r="L2" s="522"/>
      <c r="M2" s="523">
        <v>0.5</v>
      </c>
      <c r="N2" s="524"/>
      <c r="O2" s="520">
        <v>7.2999999999999995E-2</v>
      </c>
      <c r="P2" s="519"/>
      <c r="Q2" s="520">
        <v>3.0499999999999999E-2</v>
      </c>
      <c r="R2" s="525"/>
      <c r="S2" s="550">
        <v>0.26374999999999998</v>
      </c>
      <c r="T2" s="525"/>
      <c r="U2" s="520">
        <v>1000</v>
      </c>
      <c r="V2" s="525"/>
      <c r="W2" s="520">
        <v>2000</v>
      </c>
    </row>
    <row r="3" spans="1:23" ht="15.5">
      <c r="A3" s="519">
        <v>2</v>
      </c>
      <c r="B3" s="520">
        <v>1800</v>
      </c>
      <c r="C3" s="519"/>
      <c r="D3" s="519">
        <v>1</v>
      </c>
      <c r="E3" s="520">
        <v>80</v>
      </c>
      <c r="F3" s="519"/>
      <c r="G3" s="519">
        <v>1</v>
      </c>
      <c r="H3" s="520">
        <v>0</v>
      </c>
      <c r="I3" s="519"/>
      <c r="J3" s="519" t="s">
        <v>192</v>
      </c>
      <c r="K3" s="521">
        <v>2.5</v>
      </c>
      <c r="L3" s="522"/>
      <c r="M3" s="523">
        <v>1</v>
      </c>
      <c r="N3" s="524"/>
      <c r="O3" s="524"/>
      <c r="P3" s="524"/>
      <c r="Q3" s="524"/>
      <c r="R3" s="524"/>
      <c r="S3" s="524"/>
      <c r="T3" s="524"/>
      <c r="U3" s="524"/>
      <c r="V3" s="524"/>
      <c r="W3" s="524"/>
    </row>
    <row r="4" spans="1:23" ht="15.5">
      <c r="A4" s="519"/>
      <c r="B4" s="526"/>
      <c r="C4" s="519"/>
      <c r="D4" s="519">
        <v>2</v>
      </c>
      <c r="E4" s="520">
        <v>160</v>
      </c>
      <c r="F4" s="519"/>
      <c r="G4" s="519">
        <v>2</v>
      </c>
      <c r="H4" s="520">
        <v>0</v>
      </c>
      <c r="I4" s="519"/>
      <c r="J4" s="519" t="s">
        <v>193</v>
      </c>
      <c r="K4" s="521">
        <v>3</v>
      </c>
      <c r="L4" s="522"/>
      <c r="M4" s="523">
        <v>1.5</v>
      </c>
      <c r="N4" s="524"/>
      <c r="O4" s="524"/>
      <c r="P4" s="524"/>
      <c r="Q4" s="524"/>
      <c r="R4" s="524"/>
      <c r="S4" s="524"/>
      <c r="T4" s="524"/>
      <c r="U4" s="524"/>
      <c r="V4" s="524"/>
      <c r="W4" s="524"/>
    </row>
    <row r="5" spans="1:23" ht="15.5">
      <c r="A5" s="519"/>
      <c r="B5" s="526"/>
      <c r="C5" s="519"/>
      <c r="D5" s="519">
        <v>3</v>
      </c>
      <c r="E5" s="520">
        <v>240</v>
      </c>
      <c r="F5" s="519"/>
      <c r="G5" s="519"/>
      <c r="H5" s="526"/>
      <c r="I5" s="519"/>
      <c r="J5" s="519" t="s">
        <v>179</v>
      </c>
      <c r="K5" s="521">
        <v>3.5</v>
      </c>
      <c r="L5" s="522"/>
      <c r="M5" s="523">
        <v>2</v>
      </c>
      <c r="N5" s="524"/>
      <c r="O5" s="524"/>
      <c r="P5" s="524"/>
      <c r="Q5" s="524"/>
      <c r="R5" s="524"/>
      <c r="S5" s="524"/>
      <c r="T5" s="524"/>
      <c r="U5" s="524"/>
      <c r="V5" s="524"/>
      <c r="W5" s="524"/>
    </row>
    <row r="6" spans="1:23" ht="15.5">
      <c r="A6" s="519"/>
      <c r="B6" s="526"/>
      <c r="C6" s="519"/>
      <c r="D6" s="519">
        <v>4</v>
      </c>
      <c r="E6" s="520">
        <v>320</v>
      </c>
      <c r="F6" s="519"/>
      <c r="G6" s="519"/>
      <c r="H6" s="526"/>
      <c r="I6" s="519"/>
      <c r="J6" s="519" t="s">
        <v>194</v>
      </c>
      <c r="K6" s="521">
        <v>4.5</v>
      </c>
      <c r="L6" s="522"/>
      <c r="M6" s="523">
        <v>2.5</v>
      </c>
      <c r="N6" s="524"/>
      <c r="O6" s="524"/>
      <c r="P6" s="524"/>
      <c r="Q6" s="524"/>
      <c r="R6" s="524"/>
      <c r="S6" s="524"/>
      <c r="T6" s="524"/>
      <c r="U6" s="524"/>
      <c r="V6" s="524"/>
      <c r="W6" s="524"/>
    </row>
    <row r="7" spans="1:23" ht="15.5">
      <c r="A7" s="519"/>
      <c r="B7" s="526"/>
      <c r="C7" s="519"/>
      <c r="D7" s="519">
        <v>5</v>
      </c>
      <c r="E7" s="520">
        <v>400</v>
      </c>
      <c r="F7" s="519"/>
      <c r="G7" s="519"/>
      <c r="H7" s="526"/>
      <c r="I7" s="519"/>
      <c r="J7" s="519" t="s">
        <v>246</v>
      </c>
      <c r="K7" s="521">
        <v>5.5</v>
      </c>
      <c r="L7" s="527"/>
      <c r="M7" s="523">
        <v>3</v>
      </c>
      <c r="N7" s="524"/>
      <c r="O7" s="524"/>
      <c r="P7" s="524"/>
      <c r="Q7" s="524"/>
      <c r="R7" s="524"/>
      <c r="S7" s="524"/>
      <c r="T7" s="524"/>
      <c r="U7" s="524"/>
      <c r="V7" s="524"/>
      <c r="W7" s="524"/>
    </row>
    <row r="8" spans="1:23" ht="15.5">
      <c r="A8" s="519"/>
      <c r="B8" s="526"/>
      <c r="C8" s="519"/>
      <c r="D8" s="519"/>
      <c r="E8" s="526"/>
      <c r="F8" s="519"/>
      <c r="G8" s="519"/>
      <c r="H8" s="526"/>
      <c r="I8" s="519"/>
      <c r="J8" s="519" t="s">
        <v>247</v>
      </c>
      <c r="K8" s="521">
        <v>8</v>
      </c>
      <c r="L8" s="527"/>
      <c r="M8" s="523">
        <v>3.5</v>
      </c>
      <c r="N8" s="524"/>
      <c r="O8" s="524"/>
      <c r="P8" s="524"/>
      <c r="Q8" s="524"/>
      <c r="R8" s="524"/>
      <c r="S8" s="524"/>
      <c r="T8" s="524"/>
      <c r="U8" s="524"/>
      <c r="V8" s="524"/>
      <c r="W8" s="524"/>
    </row>
    <row r="9" spans="1:23" ht="15.5">
      <c r="A9" s="519"/>
      <c r="B9" s="526"/>
      <c r="C9" s="519"/>
      <c r="D9" s="519"/>
      <c r="E9" s="526"/>
      <c r="F9" s="519"/>
      <c r="G9" s="519"/>
      <c r="H9" s="526"/>
      <c r="I9" s="519"/>
      <c r="J9" s="519"/>
      <c r="K9" s="528"/>
      <c r="L9" s="527"/>
      <c r="M9" s="523">
        <v>4</v>
      </c>
      <c r="N9" s="524"/>
      <c r="O9" s="524"/>
      <c r="P9" s="524"/>
      <c r="Q9" s="524"/>
      <c r="R9" s="524"/>
      <c r="S9" s="524"/>
      <c r="T9" s="524"/>
      <c r="U9" s="524"/>
      <c r="V9" s="524"/>
      <c r="W9" s="524"/>
    </row>
    <row r="10" spans="1:23" ht="15.5">
      <c r="A10" s="519"/>
      <c r="B10" s="526"/>
      <c r="C10" s="519"/>
      <c r="D10" s="519"/>
      <c r="E10" s="526"/>
      <c r="F10" s="519"/>
      <c r="G10" s="519"/>
      <c r="H10" s="526"/>
      <c r="I10" s="519"/>
      <c r="J10" s="519"/>
      <c r="K10" s="528"/>
      <c r="L10" s="527"/>
      <c r="M10" s="523">
        <v>4.5</v>
      </c>
      <c r="N10" s="524"/>
      <c r="O10" s="524"/>
      <c r="P10" s="524"/>
      <c r="Q10" s="524"/>
      <c r="R10" s="524"/>
      <c r="S10" s="524"/>
      <c r="T10" s="524"/>
      <c r="U10" s="524"/>
      <c r="V10" s="524"/>
      <c r="W10" s="524"/>
    </row>
    <row r="11" spans="1:23" ht="15.5">
      <c r="A11" s="519"/>
      <c r="B11" s="526"/>
      <c r="C11" s="519"/>
      <c r="D11" s="519"/>
      <c r="E11" s="526"/>
      <c r="F11" s="519"/>
      <c r="G11" s="519"/>
      <c r="H11" s="526"/>
      <c r="I11" s="519"/>
      <c r="J11" s="519"/>
      <c r="K11" s="528"/>
      <c r="L11" s="527"/>
      <c r="M11" s="523">
        <v>5</v>
      </c>
      <c r="N11" s="524"/>
      <c r="O11" s="524"/>
      <c r="P11" s="524"/>
      <c r="Q11" s="524"/>
      <c r="R11" s="524"/>
      <c r="S11" s="524"/>
      <c r="T11" s="524"/>
      <c r="U11" s="524"/>
      <c r="V11" s="524"/>
      <c r="W11" s="524"/>
    </row>
    <row r="12" spans="1:23" ht="15.5">
      <c r="A12" s="519"/>
      <c r="B12" s="526"/>
      <c r="C12" s="519"/>
      <c r="D12" s="519"/>
      <c r="E12" s="526"/>
      <c r="F12" s="519"/>
      <c r="G12" s="519"/>
      <c r="H12" s="526"/>
      <c r="I12" s="519"/>
      <c r="J12" s="519"/>
      <c r="K12" s="528"/>
      <c r="L12" s="527"/>
      <c r="M12" s="523">
        <v>5.5</v>
      </c>
      <c r="N12" s="524"/>
      <c r="O12" s="524"/>
      <c r="P12" s="524"/>
      <c r="Q12" s="524"/>
      <c r="R12" s="524"/>
      <c r="S12" s="524"/>
      <c r="T12" s="524"/>
      <c r="U12" s="524"/>
      <c r="V12" s="524"/>
      <c r="W12" s="524"/>
    </row>
    <row r="13" spans="1:23" ht="15.5">
      <c r="A13" s="519"/>
      <c r="B13" s="526"/>
      <c r="C13" s="519"/>
      <c r="D13" s="519"/>
      <c r="E13" s="526"/>
      <c r="F13" s="519"/>
      <c r="G13" s="519"/>
      <c r="H13" s="526"/>
      <c r="I13" s="519"/>
      <c r="J13" s="519"/>
      <c r="K13" s="528"/>
      <c r="L13" s="527"/>
      <c r="M13" s="523">
        <v>6</v>
      </c>
      <c r="N13" s="524"/>
      <c r="O13" s="524"/>
      <c r="P13" s="524"/>
      <c r="Q13" s="524"/>
      <c r="R13" s="524"/>
      <c r="S13" s="524"/>
      <c r="T13" s="524"/>
      <c r="U13" s="524"/>
      <c r="V13" s="524"/>
      <c r="W13" s="524"/>
    </row>
    <row r="14" spans="1:23" ht="15.5">
      <c r="A14" s="519"/>
      <c r="B14" s="526"/>
      <c r="C14" s="519"/>
      <c r="D14" s="519"/>
      <c r="E14" s="526"/>
      <c r="F14" s="519"/>
      <c r="G14" s="519"/>
      <c r="H14" s="526"/>
      <c r="I14" s="519"/>
      <c r="J14" s="519"/>
      <c r="K14" s="528"/>
      <c r="L14" s="527"/>
      <c r="M14" s="523">
        <v>6.5</v>
      </c>
      <c r="N14" s="524"/>
      <c r="O14" s="524"/>
      <c r="P14" s="524"/>
      <c r="Q14" s="524"/>
      <c r="R14" s="524"/>
      <c r="S14" s="524"/>
      <c r="T14" s="524"/>
      <c r="U14" s="524"/>
      <c r="V14" s="524"/>
      <c r="W14" s="524"/>
    </row>
    <row r="15" spans="1:23" ht="15.5">
      <c r="A15" s="519"/>
      <c r="B15" s="526"/>
      <c r="C15" s="519"/>
      <c r="D15" s="519"/>
      <c r="E15" s="526"/>
      <c r="F15" s="519"/>
      <c r="G15" s="519"/>
      <c r="H15" s="526"/>
      <c r="I15" s="519"/>
      <c r="J15" s="519"/>
      <c r="K15" s="528"/>
      <c r="L15" s="527"/>
      <c r="M15" s="523">
        <v>7</v>
      </c>
      <c r="N15" s="524"/>
      <c r="O15" s="524"/>
      <c r="P15" s="524"/>
      <c r="Q15" s="524"/>
      <c r="R15" s="524"/>
      <c r="S15" s="524"/>
      <c r="T15" s="524"/>
      <c r="U15" s="524"/>
      <c r="V15" s="524"/>
      <c r="W15" s="524"/>
    </row>
    <row r="16" spans="1:23" ht="15.5">
      <c r="A16" s="519"/>
      <c r="B16" s="526"/>
      <c r="C16" s="519"/>
      <c r="D16" s="519"/>
      <c r="E16" s="526"/>
      <c r="F16" s="519"/>
      <c r="G16" s="519"/>
      <c r="H16" s="526"/>
      <c r="I16" s="519"/>
      <c r="J16" s="519"/>
      <c r="K16" s="528"/>
      <c r="L16" s="527"/>
      <c r="M16" s="523">
        <v>7.5</v>
      </c>
      <c r="N16" s="524"/>
      <c r="O16" s="524"/>
      <c r="P16" s="524"/>
      <c r="Q16" s="524"/>
      <c r="R16" s="524"/>
      <c r="S16" s="524"/>
      <c r="T16" s="524"/>
      <c r="U16" s="524"/>
      <c r="V16" s="524"/>
      <c r="W16" s="524"/>
    </row>
    <row r="19" spans="8:15">
      <c r="H19" s="41" t="s">
        <v>226</v>
      </c>
    </row>
    <row r="25" spans="8:15">
      <c r="O25" s="83"/>
    </row>
  </sheetData>
  <sheetProtection algorithmName="SHA-512" hashValue="YlzWLxIRtYh7REbGykV0TnRAXNHM9FLkocnN7o1cc6gTM7ikiDFLSUfWNSygw3SMUIPHcG2u9cHfzwjdwruedQ==" saltValue="NWB9KOLMxoVCSCmeagBkEg==" spinCount="100000" sheet="1" objects="1" scenarios="1"/>
  <hyperlinks>
    <hyperlink ref="H19" location="'Eingabe Käuferdaten'!A1" display="Menü" xr:uid="{84CA711D-E02B-4181-BB4E-85165ACC1AF9}"/>
  </hyperlinks>
  <pageMargins left="0.70866141732283472" right="0.70866141732283472" top="0.78740157480314965" bottom="0.78740157480314965"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AB0E3C2A279CC4D9133B69F9F1444AB" ma:contentTypeVersion="15" ma:contentTypeDescription="Ein neues Dokument erstellen." ma:contentTypeScope="" ma:versionID="d9f6dbc36a8542a8907f1adecdd71e63">
  <xsd:schema xmlns:xsd="http://www.w3.org/2001/XMLSchema" xmlns:xs="http://www.w3.org/2001/XMLSchema" xmlns:p="http://schemas.microsoft.com/office/2006/metadata/properties" xmlns:ns3="6994f4ff-935c-4068-8fd9-28f4d4feddd0" xmlns:ns4="ac1d3676-2999-43c8-87e8-9ece64907d22" targetNamespace="http://schemas.microsoft.com/office/2006/metadata/properties" ma:root="true" ma:fieldsID="bd85e028e37ff414a734dc9612b59ddc" ns3:_="" ns4:_="">
    <xsd:import namespace="6994f4ff-935c-4068-8fd9-28f4d4feddd0"/>
    <xsd:import namespace="ac1d3676-2999-43c8-87e8-9ece64907d22"/>
    <xsd:element name="properties">
      <xsd:complexType>
        <xsd:sequence>
          <xsd:element name="documentManagement">
            <xsd:complexType>
              <xsd:all>
                <xsd:element ref="ns3:SharedWithDetails" minOccurs="0"/>
                <xsd:element ref="ns3:SharingHintHash" minOccurs="0"/>
                <xsd:element ref="ns3:SharedWithUsers"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94f4ff-935c-4068-8fd9-28f4d4feddd0" elementFormDefault="qualified">
    <xsd:import namespace="http://schemas.microsoft.com/office/2006/documentManagement/types"/>
    <xsd:import namespace="http://schemas.microsoft.com/office/infopath/2007/PartnerControls"/>
    <xsd:element name="SharedWithDetails" ma:index="8" nillable="true" ma:displayName="Freigegeben für - Details" ma:description="" ma:internalName="SharedWithDetails" ma:readOnly="true">
      <xsd:simpleType>
        <xsd:restriction base="dms:Note">
          <xsd:maxLength value="255"/>
        </xsd:restriction>
      </xsd:simpleType>
    </xsd:element>
    <xsd:element name="SharingHintHash" ma:index="9" nillable="true" ma:displayName="Freigabehinweishash" ma:description="" ma:hidden="true" ma:internalName="SharingHintHash" ma:readOnly="true">
      <xsd:simpleType>
        <xsd:restriction base="dms:Text"/>
      </xsd:simpleType>
    </xsd:element>
    <xsd:element name="SharedWithUsers" ma:index="10"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stSharedByUser" ma:index="11" nillable="true" ma:displayName="Zuletzt freigegeben nach Benutzer" ma:description="" ma:internalName="LastSharedByUser" ma:readOnly="true">
      <xsd:simpleType>
        <xsd:restriction base="dms:Note">
          <xsd:maxLength value="255"/>
        </xsd:restriction>
      </xsd:simpleType>
    </xsd:element>
    <xsd:element name="LastSharedByTime" ma:index="12" nillable="true" ma:displayName="Zuletzt freigegeben nach Zeitpunkt"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c1d3676-2999-43c8-87e8-9ece64907d22"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2B14C7-772A-4F84-A648-2D9E9514E10F}">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6994f4ff-935c-4068-8fd9-28f4d4feddd0"/>
    <ds:schemaRef ds:uri="http://schemas.microsoft.com/office/infopath/2007/PartnerControls"/>
    <ds:schemaRef ds:uri="ac1d3676-2999-43c8-87e8-9ece64907d22"/>
    <ds:schemaRef ds:uri="http://www.w3.org/XML/1998/namespace"/>
    <ds:schemaRef ds:uri="http://purl.org/dc/elements/1.1/"/>
  </ds:schemaRefs>
</ds:datastoreItem>
</file>

<file path=customXml/itemProps2.xml><?xml version="1.0" encoding="utf-8"?>
<ds:datastoreItem xmlns:ds="http://schemas.openxmlformats.org/officeDocument/2006/customXml" ds:itemID="{D23B4AB8-BA07-488D-9695-20008F77F7F3}">
  <ds:schemaRefs>
    <ds:schemaRef ds:uri="http://schemas.microsoft.com/sharepoint/v3/contenttype/forms"/>
  </ds:schemaRefs>
</ds:datastoreItem>
</file>

<file path=customXml/itemProps3.xml><?xml version="1.0" encoding="utf-8"?>
<ds:datastoreItem xmlns:ds="http://schemas.openxmlformats.org/officeDocument/2006/customXml" ds:itemID="{1D250C6D-11C0-4372-B1B9-8BF0716C6D5C}">
  <ds:schemaRefs>
    <ds:schemaRef ds:uri="http://schemas.microsoft.com/office/2006/metadata/contentType"/>
    <ds:schemaRef ds:uri="http://schemas.microsoft.com/office/2006/metadata/properties/metaAttributes"/>
    <ds:schemaRef ds:uri="http://www.w3.org/2000/xmlns/"/>
    <ds:schemaRef ds:uri="http://www.w3.org/2001/XMLSchema"/>
    <ds:schemaRef ds:uri="6994f4ff-935c-4068-8fd9-28f4d4feddd0"/>
    <ds:schemaRef ds:uri="ac1d3676-2999-43c8-87e8-9ece64907d22"/>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16</vt:i4>
      </vt:variant>
    </vt:vector>
  </HeadingPairs>
  <TitlesOfParts>
    <vt:vector size="33" baseType="lpstr">
      <vt:lpstr>Info</vt:lpstr>
      <vt:lpstr>Eingabe Käuferdaten</vt:lpstr>
      <vt:lpstr>Eingabe Immodaten</vt:lpstr>
      <vt:lpstr>Einkommens &amp; Vermögensbilanz</vt:lpstr>
      <vt:lpstr>Rentenlücke</vt:lpstr>
      <vt:lpstr>Max Volumen</vt:lpstr>
      <vt:lpstr>Beispielberechnung</vt:lpstr>
      <vt:lpstr>Bilanz</vt:lpstr>
      <vt:lpstr>Bilanz Diagramm</vt:lpstr>
      <vt:lpstr>Vergleich Sparplan</vt:lpstr>
      <vt:lpstr>Diagramme</vt:lpstr>
      <vt:lpstr>Ergebnistabelle</vt:lpstr>
      <vt:lpstr>Kurzberechnung Jahr 1</vt:lpstr>
      <vt:lpstr>Steuerbetrachtung</vt:lpstr>
      <vt:lpstr>Steuertabelle</vt:lpstr>
      <vt:lpstr>Inflationstabelle</vt:lpstr>
      <vt:lpstr>Einstellungen</vt:lpstr>
      <vt:lpstr>Beispielberechnung!Druckbereich</vt:lpstr>
      <vt:lpstr>Bilanz!Druckbereich</vt:lpstr>
      <vt:lpstr>'Bilanz Diagramm'!Druckbereich</vt:lpstr>
      <vt:lpstr>Diagramme!Druckbereich</vt:lpstr>
      <vt:lpstr>'Eingabe Immodaten'!Druckbereich</vt:lpstr>
      <vt:lpstr>'Eingabe Käuferdaten'!Druckbereich</vt:lpstr>
      <vt:lpstr>'Einkommens &amp; Vermögensbilanz'!Druckbereich</vt:lpstr>
      <vt:lpstr>Einstellungen!Druckbereich</vt:lpstr>
      <vt:lpstr>Ergebnistabelle!Druckbereich</vt:lpstr>
      <vt:lpstr>Inflationstabelle!Druckbereich</vt:lpstr>
      <vt:lpstr>Info!Druckbereich</vt:lpstr>
      <vt:lpstr>'Kurzberechnung Jahr 1'!Druckbereich</vt:lpstr>
      <vt:lpstr>'Max Volumen'!Druckbereich</vt:lpstr>
      <vt:lpstr>Rentenlücke!Druckbereich</vt:lpstr>
      <vt:lpstr>Steuerbetrachtung!Druckbereich</vt:lpstr>
      <vt:lpstr>Steuertabelle!Druckbereich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Steph-Büro</dc:creator>
  <cp:lastModifiedBy>André Sack | HFG</cp:lastModifiedBy>
  <cp:lastPrinted>2025-01-29T15:35:27Z</cp:lastPrinted>
  <dcterms:created xsi:type="dcterms:W3CDTF">2003-07-02T11:05:14Z</dcterms:created>
  <dcterms:modified xsi:type="dcterms:W3CDTF">2025-11-16T12:00:42Z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0x0101003AB0E3C2A279CC4D9133B69F9F1444AB</vt:lpwstr>
  </property>
</Properties>
</file>